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5f9BZMQKuNJdH6/5heB/Ov4sQR0+rX+otyla9S6Rej7xxrMkq6QlJi6zOLAWzqcPAIhzGJgRCtHHVXiwnriSNg==" workbookSaltValue="xB2zGBrJyCqgF1zkKyoZt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N18" i="2"/>
  <c r="T13" i="12"/>
  <c r="V11" i="11"/>
  <c r="BI15" i="11"/>
  <c r="BG15" i="11"/>
  <c r="AP17" i="20"/>
  <c r="BU10" i="17"/>
  <c r="BW11" i="20"/>
  <c r="BU16" i="17"/>
  <c r="T13" i="16"/>
  <c r="AZ12" i="11"/>
  <c r="BH10" i="11"/>
  <c r="BH10" i="16"/>
  <c r="BH16" i="11"/>
  <c r="T13" i="20"/>
  <c r="BF15" i="8"/>
  <c r="BF9" i="8"/>
  <c r="AU18" i="21"/>
  <c r="AH13" i="16"/>
  <c r="L12" i="2"/>
  <c r="X15" i="16"/>
  <c r="X18" i="16" s="1"/>
  <c r="V10" i="16"/>
  <c r="AP13" i="16"/>
  <c r="T18" i="17"/>
  <c r="BG15" i="13"/>
  <c r="BE16" i="13"/>
  <c r="BE15" i="13"/>
  <c r="AX20" i="20"/>
  <c r="S19" i="8" l="1"/>
  <c r="C12" i="14"/>
  <c r="K12" i="14" s="1"/>
  <c r="AB13" i="21"/>
  <c r="BG10" i="8"/>
  <c r="M13" i="2"/>
  <c r="M18" i="2"/>
  <c r="N13" i="2"/>
  <c r="H10" i="2"/>
  <c r="V9" i="16"/>
  <c r="L9" i="2"/>
  <c r="U9" i="17"/>
  <c r="U19" i="17" s="1"/>
  <c r="L17" i="2"/>
  <c r="S16" i="17"/>
  <c r="S15" i="17"/>
  <c r="BJ16" i="11"/>
  <c r="BM17" i="11"/>
  <c r="AQ10" i="21"/>
  <c r="BG12" i="11"/>
  <c r="BW10" i="20"/>
  <c r="BW12" i="20"/>
  <c r="BU11" i="17"/>
  <c r="BK17" i="11"/>
  <c r="BJ12" i="11"/>
  <c r="BM12" i="11"/>
  <c r="BF10" i="11"/>
  <c r="BM16" i="11"/>
  <c r="BH11" i="16"/>
  <c r="AL16" i="11"/>
  <c r="C16" i="6"/>
  <c r="BE9" i="13"/>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<sst xmlns="http://schemas.openxmlformats.org/spreadsheetml/2006/main" count="2074" uniqueCount="910">
  <si>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</si>
  <si>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</si>
  <si>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</si>
  <si>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</si>
  <si>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</si>
  <si>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</si>
  <si>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</si>
  <si>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</si>
  <si>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</si>
  <si>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</si>
  <si>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</si>
  <si>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</si>
  <si>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</si>
  <si>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</si>
  <si>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</si>
  <si>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</si>
  <si>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</si>
  <si>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</si>
  <si>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</si>
  <si>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</si>
  <si>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</si>
  <si>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</si>
  <si>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</si>
  <si>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</si>
  <si>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</si>
  <si>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</si>
  <si>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</si>
  <si>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</si>
  <si>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</si>
  <si>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</si>
  <si>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</si>
  <si>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</si>
  <si>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</si>
  <si>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</si>
  <si>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</si>
  <si>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</si>
  <si>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</si>
  <si>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</si>
  <si>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</si>
  <si>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</si>
  <si>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</si>
  <si>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</si>
  <si>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</si>
  <si>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</si>
  <si>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</si>
  <si>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</si>
  <si>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</si>
  <si>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</si>
  <si>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</si>
  <si>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</si>
  <si>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</si>
  <si>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</si>
  <si>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</si>
  <si>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</si>
  <si>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</si>
  <si>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</si>
  <si>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</si>
  <si>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</si>
  <si>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</si>
  <si>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</si>
  <si>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</si>
  <si>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</si>
  <si>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</si>
  <si>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</si>
  <si>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</si>
  <si>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</si>
  <si>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</si>
  <si>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</si>
  <si>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</si>
  <si>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</si>
  <si>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</si>
  <si>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</si>
  <si>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</si>
  <si>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</si>
  <si>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</si>
  <si>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</si>
  <si>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</si>
  <si>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</si>
  <si>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</si>
  <si>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</si>
  <si>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</si>
  <si>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</si>
  <si>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</si>
  <si>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</si>
  <si>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</si>
  <si>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</si>
  <si>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</si>
  <si>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</si>
  <si>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</si>
  <si>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</si>
  <si>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</si>
  <si>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</si>
  <si>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</si>
  <si>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</si>
  <si>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</si>
  <si>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</si>
  <si>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</si>
  <si>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</si>
  <si>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</si>
  <si>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</si>
  <si>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</si>
  <si>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</si>
  <si>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</si>
  <si>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</si>
  <si>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</si>
  <si>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</si>
  <si>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</si>
  <si>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</si>
  <si>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</si>
  <si>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</si>
  <si>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</si>
  <si>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</si>
  <si>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</si>
  <si>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</si>
  <si>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</si>
  <si>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</si>
  <si>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</si>
  <si>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</si>
  <si>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</si>
  <si>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</si>
  <si>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</si>
  <si>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</si>
  <si>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</si>
  <si>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</si>
  <si>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</si>
  <si>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</si>
  <si>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</si>
  <si>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</si>
  <si>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</si>
  <si>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</si>
  <si>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</si>
  <si>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</si>
  <si>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</si>
  <si>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</si>
  <si>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</si>
  <si>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</si>
  <si>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</si>
  <si>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</si>
  <si>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</si>
  <si>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</si>
  <si>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</si>
  <si>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</si>
  <si>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</si>
  <si>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</si>
  <si>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</si>
  <si>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</si>
  <si>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</si>
  <si>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</si>
  <si>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</si>
  <si>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</si>
  <si>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</si>
  <si>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</si>
  <si>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</si>
  <si>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</si>
  <si>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</si>
  <si>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</si>
  <si>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</si>
  <si>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</si>
  <si>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</si>
  <si>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</si>
  <si>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</si>
  <si>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</si>
  <si>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</si>
  <si>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</si>
  <si>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</si>
  <si>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</si>
  <si>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</si>
  <si>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</si>
  <si>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</si>
  <si>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</si>
  <si>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</si>
  <si>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</si>
  <si>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</si>
  <si>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</si>
  <si>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</si>
  <si>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</si>
  <si>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</si>
  <si>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</si>
  <si>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</si>
  <si>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</si>
  <si>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</si>
  <si>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</si>
  <si>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</si>
  <si>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</si>
  <si>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</si>
  <si>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</si>
  <si>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</si>
  <si>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</si>
  <si>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</si>
  <si>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</si>
  <si>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</si>
  <si>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</si>
  <si>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</si>
  <si>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</si>
  <si>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</si>
  <si>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</si>
  <si>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</si>
  <si>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</si>
  <si>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</si>
  <si>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</si>
  <si>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</si>
  <si>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</si>
  <si>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</si>
  <si>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</si>
  <si>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</si>
  <si>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</si>
  <si>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</si>
  <si>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</si>
  <si>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</si>
  <si>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</si>
  <si>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</si>
  <si>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</si>
  <si>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</si>
  <si>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</si>
  <si>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</si>
  <si>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</si>
  <si>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</si>
  <si>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</si>
  <si>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</si>
  <si>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</si>
  <si>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</si>
  <si>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</si>
  <si>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</si>
  <si>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</si>
  <si>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</si>
  <si>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</si>
  <si>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</si>
  <si>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</si>
  <si>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</si>
  <si>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</si>
  <si>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</si>
  <si>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</si>
  <si>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</si>
  <si>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</si>
  <si>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</si>
  <si>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</si>
  <si>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</si>
  <si>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</si>
  <si>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</si>
  <si>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</si>
  <si>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</si>
  <si>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</si>
  <si>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</si>
  <si>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</si>
  <si>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</si>
  <si>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</si>
  <si>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</si>
  <si>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</si>
  <si>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</si>
  <si>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</si>
  <si>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</si>
  <si>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</si>
  <si>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</si>
  <si>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</si>
  <si>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</si>
  <si>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</si>
  <si>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</si>
  <si>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</si>
  <si>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</si>
  <si>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</si>
  <si>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</si>
  <si>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</si>
  <si>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</si>
  <si>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</si>
  <si>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</si>
  <si>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</si>
  <si>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</si>
  <si>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</si>
  <si>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</si>
  <si>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</si>
  <si>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</si>
  <si>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</si>
  <si>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</si>
  <si>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</si>
  <si>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</si>
  <si>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</si>
  <si>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</si>
  <si>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</si>
  <si>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</si>
  <si>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</si>
  <si>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</si>
  <si>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</si>
  <si>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</si>
  <si>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</si>
  <si>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</si>
  <si>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</si>
  <si>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</si>
  <si>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</si>
  <si>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</si>
  <si>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</si>
  <si>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</si>
  <si>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</si>
  <si>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</si>
  <si>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</si>
  <si>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</si>
  <si>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</si>
  <si>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</si>
  <si>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</si>
  <si>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</si>
  <si>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</si>
  <si>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</si>
  <si>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</si>
  <si>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</si>
  <si>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</si>
  <si>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</si>
  <si>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</si>
  <si>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</si>
  <si>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</si>
  <si>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</si>
  <si>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</si>
  <si>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</si>
  <si>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</si>
  <si>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</si>
  <si>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</si>
  <si>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</si>
  <si>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</si>
  <si>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</si>
  <si>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</si>
  <si>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</si>
  <si>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</si>
  <si>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</si>
  <si>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</si>
  <si>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</si>
  <si>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</si>
  <si>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</si>
  <si>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</si>
  <si>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</si>
  <si>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</si>
  <si>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</si>
  <si>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</si>
  <si>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</si>
  <si>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</si>
  <si>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</si>
  <si>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</si>
  <si>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</si>
  <si>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</si>
  <si>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</si>
  <si>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</si>
  <si>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</si>
  <si>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</si>
  <si>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</si>
  <si>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</si>
  <si>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</si>
  <si>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</si>
  <si>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</si>
  <si>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</si>
  <si>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</si>
  <si>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</si>
  <si>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</si>
  <si>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</si>
  <si>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</si>
  <si>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</si>
  <si>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</si>
  <si>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</si>
  <si>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</si>
  <si>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</si>
  <si>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</si>
  <si>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</si>
  <si>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</si>
  <si>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</si>
  <si>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</si>
  <si>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</si>
  <si>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</si>
  <si>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</si>
  <si>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</si>
  <si>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</si>
  <si>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</si>
  <si>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</si>
  <si>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</si>
  <si>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</si>
  <si>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</si>
  <si>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</si>
  <si>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</si>
  <si>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</si>
  <si>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</si>
  <si>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</si>
  <si>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</si>
  <si>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</si>
  <si>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</si>
  <si>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</si>
  <si>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</si>
  <si>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</si>
  <si>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</si>
  <si>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</si>
  <si>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</si>
  <si>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</si>
  <si>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</si>
  <si>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</si>
  <si>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</si>
  <si>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</si>
  <si>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</si>
  <si>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</si>
  <si>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</si>
  <si>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</si>
  <si>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</si>
  <si>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</si>
  <si>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</si>
  <si>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</si>
  <si>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</si>
  <si>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</si>
  <si>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</si>
  <si>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</si>
  <si>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</si>
  <si>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</si>
  <si>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</si>
  <si>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</si>
  <si>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</si>
  <si>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</si>
  <si>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</si>
  <si>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</si>
  <si>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</si>
  <si>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</si>
  <si>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</si>
  <si>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</si>
  <si>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</si>
  <si>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</si>
  <si>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</si>
  <si>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</si>
  <si>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</si>
  <si>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</si>
  <si>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</si>
  <si>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</si>
  <si>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</si>
  <si>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</si>
  <si>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</si>
  <si>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</si>
  <si>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</si>
  <si>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</si>
  <si>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</si>
  <si>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</si>
  <si>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</si>
  <si>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</si>
  <si>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</si>
  <si>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</si>
  <si>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</si>
  <si>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</si>
  <si>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</si>
  <si>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</si>
  <si>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</si>
  <si>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</si>
  <si>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</si>
  <si>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</si>
  <si>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</si>
  <si>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</si>
  <si>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</si>
  <si>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</si>
  <si>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</si>
  <si>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</si>
  <si>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</si>
  <si>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</si>
  <si>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</si>
  <si>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</si>
  <si>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</si>
  <si>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</si>
  <si>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</si>
  <si>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</si>
  <si>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</si>
  <si>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</si>
  <si>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</si>
  <si>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</si>
  <si>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</si>
  <si>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</si>
  <si>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</si>
  <si>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</si>
  <si>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</si>
  <si>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</si>
  <si>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</si>
  <si>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</si>
  <si>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</si>
  <si>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</si>
  <si>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</si>
  <si>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</si>
  <si>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</si>
  <si>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</si>
  <si>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</si>
  <si>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</si>
  <si>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</si>
  <si>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</si>
  <si>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</si>
  <si>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</si>
  <si>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</si>
  <si>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</si>
  <si>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</si>
  <si>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</si>
  <si>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</si>
  <si>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</si>
  <si>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</si>
  <si>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</si>
  <si>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</si>
  <si>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</si>
  <si>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</si>
  <si>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</si>
  <si>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</si>
  <si>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</si>
  <si>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</si>
  <si>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</si>
  <si>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</si>
  <si>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</si>
  <si>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</si>
  <si>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</si>
  <si>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</si>
  <si>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</si>
  <si>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</si>
  <si>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</si>
  <si>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</si>
  <si>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</si>
  <si>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</si>
  <si>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</si>
  <si>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</si>
  <si>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</si>
  <si>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</si>
  <si>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</si>
  <si>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</si>
  <si>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</si>
  <si>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</si>
  <si>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</si>
  <si>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</si>
  <si>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</si>
  <si>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</si>
  <si>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</si>
  <si>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</si>
  <si>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</si>
  <si>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</si>
  <si>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</si>
  <si>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</si>
  <si>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</si>
  <si>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</si>
  <si>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</si>
  <si>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</si>
  <si>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</si>
  <si>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</si>
  <si>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</si>
  <si>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</si>
  <si>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</si>
  <si>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</si>
  <si>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</si>
  <si>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</si>
  <si>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</si>
  <si>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</si>
  <si>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</si>
  <si>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</si>
  <si>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</si>
  <si>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</si>
  <si>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</si>
  <si>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</si>
  <si>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</si>
  <si>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</si>
  <si>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</si>
  <si>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</si>
  <si>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</si>
  <si>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</si>
  <si>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</si>
  <si>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</si>
  <si>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</si>
  <si>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</si>
  <si>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</si>
  <si>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</si>
  <si>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</si>
  <si>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</si>
  <si>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</si>
  <si>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</si>
  <si>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</si>
  <si>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</si>
  <si>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</si>
  <si>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</si>
  <si>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</si>
  <si>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</si>
  <si>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</si>
  <si>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</si>
  <si>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</si>
  <si>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</si>
  <si>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</si>
  <si>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</si>
  <si>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</si>
  <si>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</si>
  <si>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</si>
  <si>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</si>
  <si>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</si>
  <si>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</si>
  <si>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</si>
  <si>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</si>
  <si>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</si>
  <si>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</si>
  <si>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</si>
  <si>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</si>
  <si>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</si>
  <si>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</si>
  <si>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</si>
  <si>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</si>
  <si>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</si>
  <si>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</si>
  <si>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</si>
  <si>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</si>
  <si>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</si>
  <si>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</si>
  <si>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</si>
  <si>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</si>
  <si>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</si>
  <si>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</si>
  <si>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</si>
  <si>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</si>
  <si>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</si>
  <si>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</si>
  <si>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</si>
  <si>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</si>
  <si>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</si>
  <si>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</si>
  <si>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</si>
  <si>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</si>
  <si>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</si>
  <si>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</si>
  <si>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</si>
  <si>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</si>
  <si>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</si>
  <si>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</si>
  <si>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</si>
  <si>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</si>
  <si>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</si>
  <si>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</si>
  <si>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</si>
  <si>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</si>
  <si>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</si>
  <si>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</si>
  <si>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</si>
  <si>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</si>
  <si>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</si>
  <si>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</si>
  <si>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</si>
  <si>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</si>
  <si>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</si>
  <si>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</si>
  <si>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</si>
  <si>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</si>
  <si>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</si>
  <si>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</si>
  <si>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</si>
  <si>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</si>
  <si>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</si>
  <si>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</si>
  <si>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</si>
  <si>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</si>
  <si>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</si>
  <si>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</si>
  <si>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</si>
  <si>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</si>
  <si>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</si>
  <si>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</si>
  <si>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</si>
  <si>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</si>
  <si>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</si>
  <si>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</si>
  <si>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</si>
  <si>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</si>
  <si>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</si>
  <si>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</si>
  <si>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</si>
  <si>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</si>
  <si>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</si>
  <si>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</si>
  <si>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</si>
  <si>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</si>
  <si>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</si>
  <si>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</si>
  <si>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</si>
  <si>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</si>
  <si>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</si>
  <si>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</si>
  <si>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</si>
  <si>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</si>
  <si>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</si>
  <si>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</si>
  <si>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</si>
  <si>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</si>
  <si>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</si>
  <si>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</si>
  <si>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</si>
  <si>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</si>
  <si>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</si>
  <si>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</si>
  <si>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</si>
  <si>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</si>
  <si>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</si>
  <si>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</si>
  <si>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</si>
  <si>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</si>
  <si>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</si>
  <si>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</si>
  <si>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</si>
  <si>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</si>
  <si>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</si>
  <si>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</si>
  <si>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</si>
  <si>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</si>
  <si>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</si>
  <si>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</si>
  <si>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</si>
  <si>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</si>
  <si>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</si>
  <si>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</si>
  <si>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</si>
  <si>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</si>
  <si>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</si>
  <si>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</si>
  <si>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</si>
  <si>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</si>
  <si>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</si>
  <si>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</si>
  <si>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</si>
  <si>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</si>
  <si>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</si>
  <si>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</si>
  <si>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</si>
  <si>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</si>
  <si>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</si>
  <si>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</si>
  <si>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</si>
  <si>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</si>
  <si>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</si>
  <si>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</si>
  <si>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</si>
  <si>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</si>
  <si>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</si>
  <si>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</si>
  <si>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</si>
  <si>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</si>
  <si>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</si>
  <si>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</si>
  <si>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</si>
  <si>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</si>
  <si>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</si>
  <si>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</si>
  <si>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</si>
  <si>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</si>
  <si>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</si>
  <si>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</si>
  <si>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</si>
  <si>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</si>
  <si>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</si>
  <si>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</si>
  <si>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</si>
  <si>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</si>
  <si>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</si>
  <si>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</si>
  <si>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</si>
  <si>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</si>
  <si>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</si>
  <si>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</si>
  <si>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</si>
  <si>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</si>
  <si>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</si>
  <si>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</si>
  <si>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</si>
  <si>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</si>
  <si>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</si>
  <si>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</si>
  <si>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</si>
  <si>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</si>
  <si>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</si>
  <si>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</si>
  <si>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</si>
  <si>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</si>
  <si>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</si>
  <si>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</si>
  <si>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</si>
  <si>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</si>
  <si>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</si>
  <si>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</si>
  <si>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</si>
  <si>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</si>
  <si>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</si>
  <si>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</si>
  <si>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</si>
  <si>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</si>
  <si>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</si>
  <si>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</si>
  <si>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</si>
  <si>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</si>
  <si>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</si>
  <si>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</si>
  <si>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</si>
  <si>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</si>
  <si>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</si>
  <si>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</si>
  <si>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</si>
  <si>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</si>
  <si>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</si>
  <si>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</si>
  <si>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</si>
  <si>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</si>
  <si>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</si>
  <si>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</si>
  <si>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</si>
  <si>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</si>
  <si>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</si>
  <si>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</si>
  <si>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</si>
  <si>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</si>
  <si>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</si>
  <si>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</si>
  <si>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</si>
  <si>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</si>
  <si>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</si>
  <si>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</si>
  <si>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</si>
  <si>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</si>
  <si>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</si>
  <si>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</si>
  <si>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</si>
  <si>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</si>
  <si>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</si>
  <si>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</si>
  <si>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</si>
  <si>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</si>
  <si>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</si>
  <si>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</si>
  <si>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</si>
  <si>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</si>
  <si>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</si>
  <si>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</si>
  <si>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</si>
  <si>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</si>
  <si>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</si>
  <si>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</si>
  <si>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</si>
  <si>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</si>
  <si>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</si>
  <si>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</si>
  <si>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</si>
  <si>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</si>
  <si>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</si>
  <si>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</si>
  <si>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</si>
  <si>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</si>
  <si>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</si>
  <si>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</si>
  <si>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</si>
  <si>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</si>
  <si>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</si>
  <si>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</si>
  <si>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</si>
  <si>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</si>
  <si>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</si>
  <si>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</si>
  <si>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</si>
  <si>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</si>
  <si>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</si>
  <si>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</si>
  <si>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</si>
  <si>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</si>
  <si>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</si>
  <si>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</si>
  <si>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</si>
  <si>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</si>
  <si>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</si>
  <si>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</si>
  <si>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</si>
  <si>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</si>
  <si>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</si>
  <si>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</si>
  <si>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</si>
  <si>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</si>
  <si>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</si>
  <si>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</si>
  <si>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</si>
  <si>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</si>
  <si>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</si>
  <si>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</si>
  <si>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</si>
  <si>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</si>
  <si>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</si>
  <si>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</si>
  <si>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</si>
  <si>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</si>
  <si>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</si>
  <si>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</si>
  <si>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</si>
  <si>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</si>
  <si>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</si>
  <si>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</si>
  <si>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</si>
  <si>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</si>
  <si>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</si>
  <si>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</si>
  <si>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</si>
  <si>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</si>
  <si>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</si>
  <si>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</si>
  <si>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</si>
  <si>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</si>
  <si>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</si>
  <si>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</si>
  <si>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</si>
  <si>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</si>
  <si>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</si>
  <si>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</si>
  <si>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</si>
  <si>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</si>
  <si>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</si>
  <si>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</si>
  <si>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</si>
  <si>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</si>
  <si>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</si>
  <si>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</si>
  <si>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</si>
  <si>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</si>
  <si>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CANARIAS</t>
  </si>
  <si>
    <t>Provincias</t>
  </si>
  <si>
    <t>LAS PALMAS</t>
  </si>
  <si>
    <t>Resumenes por Partidos Judiciales</t>
  </si>
  <si>
    <t>ARRECIFE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</si>
</sst>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mn4njcikyE2sTmOc0Pjbwbysp7rkaTiXhMbjV31vfl4rcbseiTs+0aWM6mTDqn+mXaTweUaoyn5+ssEIEFFEg==" saltValue="QqR+to/0KGb08PL0YXP46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ARRECIFE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6131</v>
      </c>
      <c r="D9" s="404">
        <f>IF(ISNUMBER(C9/Datos!BH9),C9/Datos!BH9," - ")</f>
        <v>1226.2</v>
      </c>
      <c r="E9" s="403">
        <f>IF(ISNUMBER(IF(J_V="SI",Datos!J9,Datos!J9+Datos!Z9)),IF(J_V="SI",Datos!J9,Datos!J9+Datos!Z9)," - ")</f>
        <v>3692</v>
      </c>
      <c r="F9" s="404">
        <f>IF(ISNUMBER(E9/B9),E9/B9," - ")</f>
        <v>738.4</v>
      </c>
      <c r="G9" s="403">
        <f>IF(ISNUMBER(IF(J_V="SI",Datos!K9,Datos!K9+Datos!AA9)),IF(J_V="SI",Datos!K9,Datos!K9+Datos!AA9)," - ")</f>
        <v>3438</v>
      </c>
      <c r="H9" s="404">
        <f>IF(ISNUMBER(G9/B9),G9/B9," - ")</f>
        <v>687.6</v>
      </c>
      <c r="I9" s="403">
        <f>IF(ISNUMBER(IF(J_V="SI",Datos!L9,Datos!L9+Datos!AB9)),IF(J_V="SI",Datos!L9,Datos!L9+Datos!AB9)," - ")</f>
        <v>6385</v>
      </c>
      <c r="J9" s="404">
        <f>IF(ISNUMBER(I9/B9),I9/B9," - ")</f>
        <v>1277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24</v>
      </c>
      <c r="F10" s="404">
        <f>IF(ISNUMBER(E10/B10),E10/B10," - ")</f>
        <v>24</v>
      </c>
      <c r="G10" s="403">
        <f>IF(ISNUMBER(Datos!K10),Datos!K10," - ")</f>
        <v>31</v>
      </c>
      <c r="H10" s="404">
        <f>IF(ISNUMBER(G10/B10),G10/B10," - ")</f>
        <v>31</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1</v>
      </c>
      <c r="F12" s="404" t="str">
        <f>IF(ISNUMBER(E12/B12),E12/B12," - ")</f>
        <v xml:space="preserve"> - </v>
      </c>
      <c r="G12" s="403">
        <f>IF(ISNUMBER(IF(J_V="SI",Datos!K12,Datos!K12+Datos!AA12)),IF(J_V="SI",Datos!K12,Datos!K12+Datos!AA12)," - ")</f>
        <v>1</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6153</v>
      </c>
      <c r="D13" s="850" t="str">
        <f>IF(ISNUMBER(C13/Datos!BI13),C13/Datos!BI13," - ")</f>
        <v xml:space="preserve"> - </v>
      </c>
      <c r="E13" s="849">
        <f>SUBTOTAL(9,E8:E12)</f>
        <v>3717</v>
      </c>
      <c r="F13" s="850">
        <f>IF(ISNUMBER(E13/B13),E13/B13," - ")</f>
        <v>743.4</v>
      </c>
      <c r="G13" s="849">
        <f>SUBTOTAL(9,G8:G12)</f>
        <v>3470</v>
      </c>
      <c r="H13" s="850">
        <f>IF(ISNUMBER(G13/B13),G13/B13," - ")</f>
        <v>694</v>
      </c>
      <c r="I13" s="849">
        <f>SUBTOTAL(9,I8:I12)</f>
        <v>6400</v>
      </c>
      <c r="J13" s="850">
        <f>IF(ISNUMBER(I13/B13),I13/B13," - ")</f>
        <v>1280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1890</v>
      </c>
      <c r="D15" s="404">
        <f>IF(ISNUMBER(C15/Datos!BH15),C15/Datos!BH15," - ")</f>
        <v>472.5</v>
      </c>
      <c r="E15" s="403">
        <f>IF(ISNUMBER(IF(D_I="SI",Datos!J15,Datos!J15+Datos!AD15)),IF(D_I="SI",Datos!J15,Datos!J15+Datos!AD15)," - ")</f>
        <v>4133</v>
      </c>
      <c r="F15" s="404">
        <f>IF(ISNUMBER(E15/B15),E15/B15," - ")</f>
        <v>1033.25</v>
      </c>
      <c r="G15" s="403">
        <f>IF(ISNUMBER(IF(D_I="SI",Datos!K15,Datos!K15+Datos!AE15)),IF(D_I="SI",Datos!K15,Datos!K15+Datos!AE15)," - ")</f>
        <v>3941</v>
      </c>
      <c r="H15" s="404">
        <f>IF(ISNUMBER(G15/B15),G15/B15," - ")</f>
        <v>985.25</v>
      </c>
      <c r="I15" s="403">
        <f>IF(ISNUMBER(IF(D_I="SI",Datos!L15,Datos!L15+Datos!AF15)),IF(D_I="SI",Datos!L15,Datos!L15+Datos!AF15)," - ")</f>
        <v>2143</v>
      </c>
      <c r="J15" s="404">
        <f>IF(ISNUMBER(I15/B15),I15/B15," - ")</f>
        <v>535.75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0</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0</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101</v>
      </c>
      <c r="D17" s="404">
        <f>IF(ISNUMBER(C17/Datos!BH17),C17/Datos!BH17," - ")</f>
        <v>101</v>
      </c>
      <c r="E17" s="403">
        <f>IF(ISNUMBER(IF(D_I="SI",Datos!J17,Datos!J17+Datos!AD17)),IF(D_I="SI",Datos!J17,Datos!J17+Datos!AD17)," - ")</f>
        <v>201</v>
      </c>
      <c r="F17" s="404">
        <f>IF(ISNUMBER(E17/B17),E17/B17," - ")</f>
        <v>201</v>
      </c>
      <c r="G17" s="403">
        <f>IF(ISNUMBER(IF(D_I="SI",Datos!K17,Datos!K17+Datos!AE17)),IF(D_I="SI",Datos!K17,Datos!K17+Datos!AE17)," - ")</f>
        <v>212</v>
      </c>
      <c r="H17" s="404">
        <f>IF(ISNUMBER(G17/B17),G17/B17," - ")</f>
        <v>212</v>
      </c>
      <c r="I17" s="403">
        <f>IF(ISNUMBER(IF(D_I="SI",Datos!L17,Datos!L17+Datos!AF17)),IF(D_I="SI",Datos!L17,Datos!L17+Datos!AF17)," - ")</f>
        <v>91</v>
      </c>
      <c r="J17" s="404">
        <f>IF(ISNUMBER(I17/B17),I17/B17," - ")</f>
        <v>91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1991</v>
      </c>
      <c r="D18" s="850" t="str">
        <f>IF(ISNUMBER(C18/Datos!BI18),C18/Datos!BI18," - ")</f>
        <v xml:space="preserve"> - </v>
      </c>
      <c r="E18" s="849">
        <f>SUBTOTAL(9,E14:E17)</f>
        <v>4334</v>
      </c>
      <c r="F18" s="850">
        <f>IF(ISNUMBER(E18/B18),E18/B18," - ")</f>
        <v>1083.5</v>
      </c>
      <c r="G18" s="849">
        <f>SUBTOTAL(9,G14:G17)</f>
        <v>4153</v>
      </c>
      <c r="H18" s="850">
        <f>IF(ISNUMBER(G18/B18),G18/B18," - ")</f>
        <v>1038.25</v>
      </c>
      <c r="I18" s="849">
        <f>SUBTOTAL(9,I14:I17)</f>
        <v>2234</v>
      </c>
      <c r="J18" s="850">
        <f>IF(ISNUMBER(I18/B18),I18/B18," - ")</f>
        <v>558.5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8144</v>
      </c>
      <c r="D19" s="795" t="str">
        <f>IF(ISNUMBER(C19/Datos!BI19),C19/Datos!BI19," - ")</f>
        <v xml:space="preserve"> - </v>
      </c>
      <c r="E19" s="794">
        <f>SUBTOTAL(9,E9:E18)</f>
        <v>8051</v>
      </c>
      <c r="F19" s="795">
        <f>IF(ISNUMBER(E19/B19),E19/B19," - ")</f>
        <v>894.55555555555554</v>
      </c>
      <c r="G19" s="794">
        <f>SUBTOTAL(9,G9:G18)</f>
        <v>7623</v>
      </c>
      <c r="H19" s="795">
        <f>IF(ISNUMBER(G19/B19),G19/B19," - ")</f>
        <v>847</v>
      </c>
      <c r="I19" s="794">
        <f>SUBTOTAL(9,I9:I18)</f>
        <v>8634</v>
      </c>
      <c r="J19" s="795">
        <f>IF(ISNUMBER(I19/B19),I19/B19," - ")</f>
        <v>959.33333333333337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cvwW7kV4NpiUrSLGjw0nVwVq+EJrjeGlBM+rMz5ujf8d5x+IBMHlBhl1musrwQ1zOJLkFrXWcF9PSmNCRbskw==" saltValue="IG6EM6k6Pfhtlyot7siOn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ARRECIFE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b3WxUGtLp0Q8vWSe734x9tlqZRMggXst7QGEZknMBq823r+negygyB2lyp/tkNKp/mG5OywobBDZzbVoSF81ig==" saltValue="StlroAOesGP9EXi5Gma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ARRECIFE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846</v>
      </c>
      <c r="E9" s="404">
        <f t="shared" ref="E9:E13" si="0">IF(ISNUMBER(D9/B9),D9/B9," - ")</f>
        <v>169.2</v>
      </c>
      <c r="F9" s="403">
        <f>IF(ISNUMBER(Datos!N9),Datos!N9," - ")</f>
        <v>2044</v>
      </c>
      <c r="G9" s="404">
        <f t="shared" ref="G9:G13" si="1">IF(ISNUMBER(F9/B9),F9/B9," - ")</f>
        <v>408.8</v>
      </c>
      <c r="H9" s="403">
        <f>IF(ISNUMBER(Datos!O9),Datos!O9," - ")</f>
        <v>804</v>
      </c>
      <c r="I9" s="404">
        <f>IF(ISNUMBER(H9/B9),H9/B9," - ")</f>
        <v>160.80000000000001</v>
      </c>
      <c r="BZ9" s="1186">
        <f>Datos!EZ9</f>
        <v>0</v>
      </c>
    </row>
    <row r="10" spans="1:78">
      <c r="A10" s="402" t="str">
        <f>Datos!A10</f>
        <v>Jdos. Violencia contra la mujer</v>
      </c>
      <c r="B10" s="427">
        <f>Datos!AO10</f>
        <v>1</v>
      </c>
      <c r="C10" s="410">
        <f>Datos!AQ10</f>
        <v>0</v>
      </c>
      <c r="D10" s="403">
        <f>IF(ISNUMBER(Datos!M10),Datos!M10," - ")</f>
        <v>16</v>
      </c>
      <c r="E10" s="404">
        <f>IF(ISNUMBER(D10/B10),D10/B10," - ")</f>
        <v>16</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1</v>
      </c>
      <c r="G12" s="404" t="str">
        <f t="shared" si="1"/>
        <v xml:space="preserve"> - </v>
      </c>
      <c r="H12" s="403">
        <f>IF(ISNUMBER(Datos!O12),Datos!O12," - ")</f>
        <v>78</v>
      </c>
      <c r="I12" s="404" t="str">
        <f t="shared" si="2"/>
        <v xml:space="preserve"> - </v>
      </c>
      <c r="BZ12" s="1186">
        <f>Datos!EZ12</f>
        <v>0</v>
      </c>
    </row>
    <row r="13" spans="1:78" ht="14.25" thickTop="1" thickBot="1">
      <c r="A13" s="848" t="str">
        <f>Datos!A13</f>
        <v>TOTAL</v>
      </c>
      <c r="B13" s="849">
        <f>Datos!AP13</f>
        <v>5</v>
      </c>
      <c r="C13" s="851">
        <f>Datos!AR13</f>
        <v>5</v>
      </c>
      <c r="D13" s="849">
        <f>SUBTOTAL(9,D9:D12)</f>
        <v>862</v>
      </c>
      <c r="E13" s="850">
        <f t="shared" si="0"/>
        <v>172.4</v>
      </c>
      <c r="F13" s="849">
        <f>SUBTOTAL(9,F9:F12)</f>
        <v>2053</v>
      </c>
      <c r="G13" s="850">
        <f t="shared" si="1"/>
        <v>410.6</v>
      </c>
      <c r="H13" s="849">
        <f>SUBTOTAL(9,H9:H12)</f>
        <v>882</v>
      </c>
      <c r="I13" s="850">
        <f>IF(ISNUMBER(H13/B13),H13/B13," - ")</f>
        <v>176.4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510</v>
      </c>
      <c r="E15" s="404">
        <f t="shared" ref="E15:E18" si="3">IF(ISNUMBER(D15/B15),D15/B15," - ")</f>
        <v>127.5</v>
      </c>
      <c r="F15" s="403">
        <f>IF(ISNUMBER(Datos!N15),Datos!N15," - ")</f>
        <v>2725</v>
      </c>
      <c r="G15" s="404">
        <f t="shared" ref="G15:G18" si="4">IF(ISNUMBER(F15/B15),F15/B15," - ")</f>
        <v>681.25</v>
      </c>
      <c r="H15" s="403">
        <f>IF(ISNUMBER(Datos!O15),Datos!O15," - ")</f>
        <v>89</v>
      </c>
      <c r="I15" s="404">
        <f t="shared" ref="I15:I17" si="5">IF(ISNUMBER(H15/B15),H15/B15," - ")</f>
        <v>22.25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80</v>
      </c>
      <c r="E17" s="404">
        <f>IF(ISNUMBER(D17/B17),D17/B17," - ")</f>
        <v>80</v>
      </c>
      <c r="F17" s="403">
        <f>IF(ISNUMBER(Datos!N17),Datos!N17," - ")</f>
        <v>65</v>
      </c>
      <c r="G17" s="404">
        <f>IF(ISNUMBER(F17/B17),F17/B17," - ")</f>
        <v>65</v>
      </c>
      <c r="H17" s="403">
        <f>IF(ISNUMBER(Datos!O17),Datos!O17," - ")</f>
        <v>19</v>
      </c>
      <c r="I17" s="404">
        <f t="shared" si="5"/>
        <v>19</v>
      </c>
      <c r="BZ17" s="1186">
        <f>Datos!EZ17</f>
        <v>0</v>
      </c>
    </row>
    <row r="18" spans="1:78" ht="14.25" thickTop="1" thickBot="1">
      <c r="A18" s="848" t="str">
        <f>Datos!A18</f>
        <v>TOTAL</v>
      </c>
      <c r="B18" s="849">
        <f>Datos!AP18</f>
        <v>4</v>
      </c>
      <c r="C18" s="851">
        <f>Datos!AR18</f>
        <v>4</v>
      </c>
      <c r="D18" s="849">
        <f>SUBTOTAL(9,D15:D17)</f>
        <v>590</v>
      </c>
      <c r="E18" s="850">
        <f t="shared" si="3"/>
        <v>147.5</v>
      </c>
      <c r="F18" s="849">
        <f>SUBTOTAL(9,F15:F17)</f>
        <v>2790</v>
      </c>
      <c r="G18" s="850">
        <f t="shared" si="4"/>
        <v>697.5</v>
      </c>
      <c r="H18" s="849">
        <f>SUBTOTAL(9,H15:H17)</f>
        <v>108</v>
      </c>
      <c r="I18" s="850">
        <f>IF(ISNUMBER(H18/B18),H18/B18," - ")</f>
        <v>27</v>
      </c>
      <c r="BZ18" s="1186"/>
    </row>
    <row r="19" spans="1:78" ht="14.25" thickTop="1" thickBot="1">
      <c r="A19" s="793" t="str">
        <f>Datos!A19</f>
        <v>TOTAL JURISDICCIONES</v>
      </c>
      <c r="B19" s="794">
        <f>Datos!AP19</f>
        <v>9</v>
      </c>
      <c r="C19" s="794">
        <f>Datos!AR19</f>
        <v>9</v>
      </c>
      <c r="D19" s="794">
        <f>SUBTOTAL(9,D8:D18)</f>
        <v>1452</v>
      </c>
      <c r="E19" s="795">
        <f>IF(ISNUMBER(D19/B19),D19/B19," - ")</f>
        <v>161.33333333333334</v>
      </c>
      <c r="F19" s="794">
        <f>SUBTOTAL(9,F8:F18)</f>
        <v>4843</v>
      </c>
      <c r="G19" s="795">
        <f>IF(ISNUMBER(F19/B19),F19/B19," - ")</f>
        <v>538.11111111111109</v>
      </c>
      <c r="H19" s="794">
        <f>SUBTOTAL(9,H8:H18)</f>
        <v>990</v>
      </c>
      <c r="I19" s="795">
        <f>IF(ISNUMBER(H19/B19),H19/B19," - ")</f>
        <v>110</v>
      </c>
    </row>
    <row r="22" spans="1:78">
      <c r="A22" s="391" t="str">
        <f>Criterios!A4</f>
        <v>Fecha Informe: 24 sep. 2024</v>
      </c>
    </row>
    <row r="27" spans="1:78">
      <c r="A27" s="414"/>
    </row>
  </sheetData>
  <sheetProtection algorithmName="SHA-512" hashValue="d5UcVp+LEO9qRUPdoroQL+xa6HlF3HekfdoCxWgcJthQ+L+tRSBX3GQv3qIUUg2FyyJsRwiI5cgcAkhmGhDR7A==" saltValue="xUeqf1Owx6yyw1NUyKbSC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ARRECIFE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630</v>
      </c>
      <c r="C9" s="434">
        <f>IF(ISNUMBER(Datos!Q9),Datos!Q9," - ")</f>
        <v>327</v>
      </c>
      <c r="D9" s="408">
        <f>IF(ISNUMBER(Datos!R9),Datos!R9," - ")</f>
        <v>7317</v>
      </c>
    </row>
    <row r="10" spans="1:4">
      <c r="A10" s="402" t="str">
        <f>Datos!A10</f>
        <v>Jdos. Violencia contra la mujer</v>
      </c>
      <c r="B10" s="433">
        <f>IF(ISNUMBER(Datos!P10),Datos!P10," - ")</f>
        <v>0</v>
      </c>
      <c r="C10" s="434">
        <f>IF(ISNUMBER(Datos!Q10),Datos!Q10," - ")</f>
        <v>2</v>
      </c>
      <c r="D10" s="408">
        <f>IF(ISNUMBER(Datos!R10),Datos!R10," - ")</f>
        <v>32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v>
      </c>
      <c r="C12" s="434">
        <f>IF(ISNUMBER(Datos!Q12),Datos!Q12," - ")</f>
        <v>79</v>
      </c>
      <c r="D12" s="408">
        <f>IF(ISNUMBER(Datos!R12),Datos!R12," - ")</f>
        <v>245</v>
      </c>
    </row>
    <row r="13" spans="1:4" ht="14.25" thickTop="1" thickBot="1">
      <c r="A13" s="848" t="str">
        <f>Datos!A13</f>
        <v>TOTAL</v>
      </c>
      <c r="B13" s="849">
        <f>SUBTOTAL(9,B9:B12)</f>
        <v>646</v>
      </c>
      <c r="C13" s="853">
        <f>SUBTOTAL(9,C9:C12)</f>
        <v>408</v>
      </c>
      <c r="D13" s="851">
        <f>SUBTOTAL(9,D9:D12)</f>
        <v>7594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111</v>
      </c>
      <c r="C15" s="434">
        <f>IF(ISNUMBER(Datos!Q15),Datos!Q15," - ")</f>
        <v>119</v>
      </c>
      <c r="D15" s="408">
        <f>IF(ISNUMBER(Datos!R15),Datos!R15," - ")</f>
        <v>345</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20</v>
      </c>
      <c r="C17" s="434">
        <f>IF(ISNUMBER(Datos!Q17),Datos!Q17," - ")</f>
        <v>19</v>
      </c>
      <c r="D17" s="408">
        <f>IF(ISNUMBER(Datos!R17),Datos!R17," - ")</f>
        <v>31</v>
      </c>
    </row>
    <row r="18" spans="1:4" ht="14.25" thickTop="1" thickBot="1">
      <c r="A18" s="848" t="str">
        <f>Datos!A18</f>
        <v>TOTAL</v>
      </c>
      <c r="B18" s="849">
        <f>SUBTOTAL(9,B15:B17)</f>
        <v>131</v>
      </c>
      <c r="C18" s="853">
        <f>SUBTOTAL(9,C15:C17)</f>
        <v>138</v>
      </c>
      <c r="D18" s="851">
        <f>SUBTOTAL(9,D15:D17)</f>
        <v>377</v>
      </c>
    </row>
    <row r="19" spans="1:4" ht="16.5" customHeight="1" thickTop="1" thickBot="1">
      <c r="A19" s="793" t="str">
        <f>Datos!A19</f>
        <v>TOTAL JURISDICCIONES</v>
      </c>
      <c r="B19" s="798">
        <f>SUBTOTAL(9,B8:B18)</f>
        <v>777</v>
      </c>
      <c r="C19" s="799">
        <f>SUBTOTAL(9,C8:C18)</f>
        <v>546</v>
      </c>
      <c r="D19" s="800">
        <f>SUBTOTAL(9,D8:D18)</f>
        <v>7971</v>
      </c>
    </row>
    <row r="20" spans="1:4" ht="7.5" customHeight="1"/>
    <row r="21" spans="1:4" ht="6" customHeight="1"/>
    <row r="22" spans="1:4">
      <c r="A22" s="391" t="str">
        <f>Criterios!A4</f>
        <v>Fecha Informe: 24 sep. 2024</v>
      </c>
    </row>
    <row r="27" spans="1:4">
      <c r="A27" s="414"/>
    </row>
  </sheetData>
  <sheetProtection algorithmName="SHA-512" hashValue="/UHz6z0kZXyEBRbHPBL+AlZ1Avcq0xwxIF46w09vbejN5bre2IGk9j50P36qIxF6E/gq4Eyn0qemXnoHieu6Lw==" saltValue="OmN0acopjlzFFm8+ZiL0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ARRECIFE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-3.3879609202647334E-2</v>
      </c>
      <c r="C9" s="456">
        <f>IF(ISNUMBER(
   IF(J_V="SI",(Datos!J9-Datos!T9)/Datos!T9,(Datos!J9+Datos!Z9-(Datos!T9+Datos!AH9))/(Datos!T9+Datos!AH9))
     ),IF(J_V="SI",(Datos!J9-Datos!T9)/Datos!T9,(Datos!J9+Datos!Z9-(Datos!T9+Datos!AH9))/(Datos!T9+Datos!AH9))," - ")</f>
        <v>0.31387900355871884</v>
      </c>
      <c r="D9" s="456">
        <f>IF(ISNUMBER(
   IF(J_V="SI",(Datos!K9-Datos!U9)/Datos!U9,(Datos!K9+Datos!AA9-(Datos!U9+Datos!AI9))/(Datos!U9+Datos!AI9))
     ),IF(J_V="SI",(Datos!K9-Datos!U9)/Datos!U9,(Datos!K9+Datos!AA9-(Datos!U9+Datos!AI9))/(Datos!U9+Datos!AI9))," - ")</f>
        <v>0.18429211160868067</v>
      </c>
      <c r="E9" s="456">
        <f>IF(ISNUMBER(
   IF(J_V="SI",(Datos!L9-Datos!V9)/Datos!V9,(Datos!L9+Datos!AB9-(Datos!V9+Datos!AJ9))/(Datos!V9+Datos!AJ9))
     ),IF(J_V="SI",(Datos!L9-Datos!V9)/Datos!V9,(Datos!L9+Datos!AB9-(Datos!V9+Datos!AJ9))/(Datos!V9+Datos!AJ9))," - ")</f>
        <v>2.1109867263713417E-2</v>
      </c>
      <c r="F9" s="456">
        <f>IF(ISNUMBER((Datos!M9-Datos!W9)/Datos!W9),(Datos!M9-Datos!W9)/Datos!W9," - ")</f>
        <v>0.67193675889328064</v>
      </c>
      <c r="G9" s="457">
        <f>IF(ISNUMBER((Datos!N9-Datos!X9)/Datos!X9),(Datos!N9-Datos!X9)/Datos!X9," - ")</f>
        <v>8.1481481481481488E-2</v>
      </c>
      <c r="H9" s="455">
        <f>IF(ISNUMBER(((NºAsuntos!G9/NºAsuntos!E9)-Datos!BD9)/Datos!BD9),((NºAsuntos!G9/NºAsuntos!E9)-Datos!BD9)/Datos!BD9," - ")</f>
        <v>-9.8629243331421132E-2</v>
      </c>
      <c r="I9" s="456">
        <f>IF(ISNUMBER(((NºAsuntos!I9/NºAsuntos!G9)-Datos!BE9)/Datos!BE9),((NºAsuntos!I9/NºAsuntos!G9)-Datos!BE9)/Datos!BE9," - ")</f>
        <v>-0.13778884681019191</v>
      </c>
      <c r="J9" s="461">
        <f>IF(ISNUMBER((('Resol  Asuntos'!D9/NºAsuntos!G9)-Datos!BF9)/Datos!BF9),(('Resol  Asuntos'!D9/NºAsuntos!G9)-Datos!BF9)/Datos!BF9," - ")</f>
        <v>-0.62203662151306138</v>
      </c>
      <c r="K9" s="462">
        <f>IF(ISNUMBER((((NºAsuntos!C9+NºAsuntos!E9)/NºAsuntos!G9)-Datos!BG9)/Datos!BG9),(((NºAsuntos!C9+NºAsuntos!E9)/NºAsuntos!G9)-Datos!BG9)/Datos!BG9," - ")</f>
        <v>-9.4101535507222514E-2</v>
      </c>
    </row>
    <row r="10" spans="1:11">
      <c r="A10" s="402" t="str">
        <f>Datos!A10</f>
        <v>Jdos. Violencia contra la mujer</v>
      </c>
      <c r="B10" s="455">
        <f>IF(ISNUMBER((Datos!I10-Datos!S10)/Datos!S10),(Datos!I10-Datos!S10)/Datos!S10," - ")</f>
        <v>0.69230769230769229</v>
      </c>
      <c r="C10" s="456">
        <f>IF(ISNUMBER((Datos!J10-Datos!T10)/Datos!T10),(Datos!J10-Datos!T10)/Datos!T10," - ")</f>
        <v>-0.1111111111111111</v>
      </c>
      <c r="D10" s="456">
        <f>IF(ISNUMBER((Datos!K10-Datos!U10)/Datos!U10),(Datos!K10-Datos!U10)/Datos!U10," - ")</f>
        <v>0.19230769230769232</v>
      </c>
      <c r="E10" s="456">
        <f>IF(ISNUMBER((Datos!L10-Datos!V10)/Datos!V10),(Datos!L10-Datos!V10)/Datos!V10," - ")</f>
        <v>7.1428571428571425E-2</v>
      </c>
      <c r="F10" s="456">
        <f>IF(ISNUMBER((Datos!M10-Datos!W10)/Datos!W10),(Datos!M10-Datos!W10)/Datos!W10," - ")</f>
        <v>0.23076923076923078</v>
      </c>
      <c r="G10" s="457">
        <f>IF(ISNUMBER((Datos!N10-Datos!X10)/Datos!X10),(Datos!N10-Datos!X10)/Datos!X10," - ")</f>
        <v>-0.33333333333333331</v>
      </c>
      <c r="H10" s="455">
        <f>IF(ISNUMBER(((NºAsuntos!G10/NºAsuntos!E10)-Datos!BD10)/Datos!BD10),((NºAsuntos!G10/NºAsuntos!E10)-Datos!BD10)/Datos!BD10," - ")</f>
        <v>0.34134615384615402</v>
      </c>
      <c r="I10" s="456">
        <f>IF(ISNUMBER(((NºAsuntos!I10/NºAsuntos!G10)-Datos!BE10)/Datos!BE10),((NºAsuntos!I10/NºAsuntos!G10)-Datos!BE10)/Datos!BE10," - ")</f>
        <v>-0.10138248847926261</v>
      </c>
      <c r="J10" s="461">
        <f>IF(ISNUMBER((('Resol  Asuntos'!D10/NºAsuntos!G10)-Datos!BF10)/Datos!BF10),(('Resol  Asuntos'!D10/NºAsuntos!G10)-Datos!BF10)/Datos!BF10," - ")</f>
        <v>3.2258064516129004E-2</v>
      </c>
      <c r="K10" s="462">
        <f>IF(ISNUMBER((((NºAsuntos!C10+NºAsuntos!E10)/NºAsuntos!G10)-Datos!BG10)/Datos!BG10),(((NºAsuntos!C10+NºAsuntos!E10)/NºAsuntos!G10)-Datos!BG10)/Datos!BG10," - ")</f>
        <v>-3.5483870967741978E-2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f>IF(ISNUMBER(
   IF(J_V="SI",(Datos!J12-Datos!T12)/Datos!T12,(Datos!J12+Datos!Z12-(Datos!T12+Datos!AH12))/(Datos!T12+Datos!AH12))
     ),IF(J_V="SI",(Datos!J12-Datos!T12)/Datos!T12,(Datos!J12+Datos!Z12-(Datos!T12+Datos!AH12))/(Datos!T12+Datos!AH12))," - ")</f>
        <v>-0.66666666666666663</v>
      </c>
      <c r="D12" s="456">
        <f>IF(ISNUMBER(
   IF(J_V="SI",(Datos!K12-Datos!U12)/Datos!U12,(Datos!K12+Datos!AA12-(Datos!U12+Datos!AI12))/(Datos!U12+Datos!AI12))
     ),IF(J_V="SI",(Datos!K12-Datos!U12)/Datos!U12,(Datos!K12+Datos!AA12-(Datos!U12+Datos!AI12))/(Datos!U12+Datos!AI12))," - ")</f>
        <v>-0.75</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f>IF(ISNUMBER((Datos!N12-Datos!X12)/Datos!X12),(Datos!N12-Datos!X12)/Datos!X12," - ")</f>
        <v>-0.75</v>
      </c>
      <c r="H12" s="455">
        <f>IF(ISNUMBER(((NºAsuntos!G12/NºAsuntos!E12)-Datos!BD12)/Datos!BD12),((NºAsuntos!G12/NºAsuntos!E12)-Datos!BD12)/Datos!BD12," - ")</f>
        <v>-0.24999999999999994</v>
      </c>
      <c r="I12" s="456" t="str">
        <f>IF(ISNUMBER(((NºAsuntos!I12/NºAsuntos!G12)-Datos!BE12)/Datos!BE12),((NºAsuntos!I12/NºAsuntos!G12)-Datos!BE12)/Datos!BE12," - ")</f>
        <v xml:space="preserve"> - </v>
      </c>
      <c r="J12" s="461">
        <f>IF(ISNUMBER((('Resol  Asuntos'!D12/NºAsuntos!G12)-Datos!BF12)/Datos!BF12),(('Resol  Asuntos'!D12/NºAsuntos!G12)-Datos!BF12)/Datos!BF12," - ")</f>
        <v>-1</v>
      </c>
      <c r="K12" s="462">
        <f>IF(ISNUMBER((((NºAsuntos!C12+NºAsuntos!E12)/NºAsuntos!G12)-Datos!BG12)/Datos!BG12),(((NºAsuntos!C12+NºAsuntos!E12)/NºAsuntos!G12)-Datos!BG12)/Datos!BG12," - ")</f>
        <v>0</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-3.2547169811320754E-2</v>
      </c>
      <c r="C13" s="855">
        <f>IF(ISNUMBER(
   IF(J_V="SI",(Datos!J13-Datos!T13)/Datos!T13,(Datos!J13+Datos!Z13-(Datos!T13+Datos!AH13))/(Datos!T13+Datos!AH13))
     ),IF(J_V="SI",(Datos!J13-Datos!T13)/Datos!T13,(Datos!J13+Datos!Z13-(Datos!T13+Datos!AH13))/(Datos!T13+Datos!AH13))," - ")</f>
        <v>0.30880281690140843</v>
      </c>
      <c r="D13" s="855">
        <f>IF(ISNUMBER(
   IF(J_V="SI",(Datos!K13-Datos!U13)/Datos!U13,(Datos!K13+Datos!AA13-(Datos!U13+Datos!AI13))/(Datos!U13+Datos!AI13))
     ),IF(J_V="SI",(Datos!K13-Datos!U13)/Datos!U13,(Datos!K13+Datos!AA13-(Datos!U13+Datos!AI13))/(Datos!U13+Datos!AI13))," - ")</f>
        <v>0.1830889873849301</v>
      </c>
      <c r="E13" s="855">
        <f>IF(ISNUMBER(
   IF(J_V="SI",(Datos!L13-Datos!V13)/Datos!V13,(Datos!L13+Datos!AB13-(Datos!V13+Datos!AJ13))/(Datos!V13+Datos!AJ13))
     ),IF(J_V="SI",(Datos!L13-Datos!V13)/Datos!V13,(Datos!L13+Datos!AB13-(Datos!V13+Datos!AJ13))/(Datos!V13+Datos!AJ13))," - ")</f>
        <v>2.12222754108824E-2</v>
      </c>
      <c r="F13" s="856">
        <f>IF(ISNUMBER((Datos!M13-Datos!W13)/Datos!W13),(Datos!M13-Datos!W13)/Datos!W13," - ")</f>
        <v>0.66088631984585744</v>
      </c>
      <c r="G13" s="857">
        <f>IF(ISNUMBER((Datos!N13-Datos!X13)/Datos!X13),(Datos!N13-Datos!X13)/Datos!X13," - ")</f>
        <v>7.7124868835257085E-2</v>
      </c>
      <c r="H13" s="857">
        <f>IF(ISNUMBER(((NºAsuntos!G13/NºAsuntos!E13)-Datos!BD13)/Datos!BD13),((NºAsuntos!G13/NºAsuntos!E13)-Datos!BD13)/Datos!BD13," - ")</f>
        <v>-9.6052535869464259E-2</v>
      </c>
      <c r="I13" s="857">
        <f>IF(ISNUMBER(((NºAsuntos!I13/NºAsuntos!G13)-Datos!BE13)/Datos!BE13),((NºAsuntos!I13/NºAsuntos!G13)-Datos!BE13)/Datos!BE13," - ")</f>
        <v>-0.13681702196538384</v>
      </c>
      <c r="J13" s="857">
        <f>IF(ISNUMBER((('Resol  Asuntos'!D13/NºAsuntos!G13)-Datos!BF13)/Datos!BF13),(('Resol  Asuntos'!D13/NºAsuntos!G13)-Datos!BF13)/Datos!BF13," - ")</f>
        <v>-0.61793332315796945</v>
      </c>
      <c r="K13" s="857">
        <f>IF(ISNUMBER((((NºAsuntos!C13+NºAsuntos!E13)/NºAsuntos!G13)-Datos!BG13)/Datos!BG13),(((NºAsuntos!C13+NºAsuntos!E13)/NºAsuntos!G13)-Datos!BG13)/Datos!BG13," - ")</f>
        <v>-9.3199160506202222E-2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0.11768184506209343</v>
      </c>
      <c r="C15" s="456">
        <f>IF(ISNUMBER(
   IF(D_I="SI",(Datos!J15-Datos!T15)/Datos!T15,(Datos!J15+Datos!AD15-(Datos!T15+Datos!AL15))/(Datos!T15+Datos!AL15))
     ),IF(D_I="SI",(Datos!J15-Datos!T15)/Datos!T15,(Datos!J15+Datos!AD15-(Datos!T15+Datos!AL15))/(Datos!T15+Datos!AL15))," - ")</f>
        <v>0.23890887290167867</v>
      </c>
      <c r="D15" s="456">
        <f>IF(ISNUMBER(
   IF(D_I="SI",(Datos!K15-Datos!U15)/Datos!U15,(Datos!K15+Datos!AE15-(Datos!U15+Datos!AM15))/(Datos!U15+Datos!AM15))
     ),IF(D_I="SI",(Datos!K15-Datos!U15)/Datos!U15,(Datos!K15+Datos!AE15-(Datos!U15+Datos!AM15))/(Datos!U15+Datos!AM15))," - ")</f>
        <v>0.16735781990521326</v>
      </c>
      <c r="E15" s="456">
        <f>IF(ISNUMBER(
   IF(D_I="SI",(Datos!L15-Datos!V15)/Datos!V15,(Datos!L15+Datos!AF15-(Datos!V15+Datos!AN15))/(Datos!V15+Datos!AN15))
     ),IF(D_I="SI",(Datos!L15-Datos!V15)/Datos!V15,(Datos!L15+Datos!AF15-(Datos!V15+Datos!AN15))/(Datos!V15+Datos!AN15))," - ")</f>
        <v>0.27635497319833235</v>
      </c>
      <c r="F15" s="456">
        <f>IF(ISNUMBER((Datos!M15-Datos!W15)/Datos!W15),(Datos!M15-Datos!W15)/Datos!W15," - ")</f>
        <v>0.52238805970149249</v>
      </c>
      <c r="G15" s="457">
        <f>IF(ISNUMBER((Datos!N15-Datos!X15)/Datos!X15),(Datos!N15-Datos!X15)/Datos!X15," - ")</f>
        <v>0.14303691275167785</v>
      </c>
      <c r="H15" s="455">
        <f>IF(ISNUMBER(((NºAsuntos!G15/NºAsuntos!E15)-Datos!BD15)/Datos!BD15),((NºAsuntos!G15/NºAsuntos!E15)-Datos!BD15)/Datos!BD15," - ")</f>
        <v>-5.7753281586307305E-2</v>
      </c>
      <c r="I15" s="456">
        <f>IF(ISNUMBER(((NºAsuntos!I15/NºAsuntos!G15)-Datos!BE15)/Datos!BE15),((NºAsuntos!I15/NºAsuntos!G15)-Datos!BE15)/Datos!BE15," - ")</f>
        <v>9.3370816929096587E-2</v>
      </c>
      <c r="J15" s="461">
        <f>IF(ISNUMBER((('Resol  Asuntos'!D15/NºAsuntos!G15)-Datos!BF15)/Datos!BF15),(('Resol  Asuntos'!D15/NºAsuntos!G15)-Datos!BF15)/Datos!BF15," - ")</f>
        <v>0.30413146144436398</v>
      </c>
      <c r="K15" s="462">
        <f>IF(ISNUMBER((((NºAsuntos!C15+NºAsuntos!E15)/NºAsuntos!G15)-Datos!BG15)/Datos!BG15),(((NºAsuntos!C15+NºAsuntos!E15)/NºAsuntos!G15)-Datos!BG15)/Datos!BG15," - ")</f>
        <v>2.6360621433904243E-2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-1</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0.01</v>
      </c>
      <c r="C17" s="456">
        <f>IF(ISNUMBER(
   IF(D_I="SI",(Datos!J17-Datos!T17)/Datos!T17,(Datos!J17+Datos!AD17-(Datos!T17+Datos!AL17))/(Datos!T17+Datos!AL17))
     ),IF(D_I="SI",(Datos!J17-Datos!T17)/Datos!T17,(Datos!J17+Datos!AD17-(Datos!T17+Datos!AL17))/(Datos!T17+Datos!AL17))," - ")</f>
        <v>0.48888888888888887</v>
      </c>
      <c r="D17" s="456">
        <f>IF(ISNUMBER(
   IF(D_I="SI",(Datos!K17-Datos!U17)/Datos!U17,(Datos!K17+Datos!AE17-(Datos!U17+Datos!AM17))/(Datos!U17+Datos!AM17))
     ),IF(D_I="SI",(Datos!K17-Datos!U17)/Datos!U17,(Datos!K17+Datos!AE17-(Datos!U17+Datos!AM17))/(Datos!U17+Datos!AM17))," - ")</f>
        <v>0.41333333333333333</v>
      </c>
      <c r="E17" s="456">
        <f>IF(ISNUMBER(
   IF(D_I="SI",(Datos!L17-Datos!V17)/Datos!V17,(Datos!L17+Datos!AF17-(Datos!V17+Datos!AN17))/(Datos!V17+Datos!AN17))
     ),IF(D_I="SI",(Datos!L17-Datos!V17)/Datos!V17,(Datos!L17+Datos!AF17-(Datos!V17+Datos!AN17))/(Datos!V17+Datos!AN17))," - ")</f>
        <v>2.247191011235955E-2</v>
      </c>
      <c r="F17" s="456">
        <f>IF(ISNUMBER((Datos!M17-Datos!W17)/Datos!W17),(Datos!M17-Datos!W17)/Datos!W17," - ")</f>
        <v>0.66666666666666663</v>
      </c>
      <c r="G17" s="457">
        <f>IF(ISNUMBER((Datos!N17-Datos!X17)/Datos!X17),(Datos!N17-Datos!X17)/Datos!X17," - ")</f>
        <v>1.5625E-2</v>
      </c>
      <c r="H17" s="455">
        <f>IF(ISNUMBER(((NºAsuntos!G17/NºAsuntos!E17)-Datos!BD17)/Datos!BD17),((NºAsuntos!G17/NºAsuntos!E17)-Datos!BD17)/Datos!BD17," - ")</f>
        <v>-5.0746268656716387E-2</v>
      </c>
      <c r="I17" s="456">
        <f>IF(ISNUMBER(((NºAsuntos!I17/NºAsuntos!G17)-Datos!BE17)/Datos!BE17),((NºAsuntos!I17/NºAsuntos!G17)-Datos!BE17)/Datos!BE17," - ")</f>
        <v>-0.2765528937884249</v>
      </c>
      <c r="J17" s="461">
        <f>IF(ISNUMBER((('Resol  Asuntos'!D17/NºAsuntos!G17)-Datos!BF17)/Datos!BF17),(('Resol  Asuntos'!D17/NºAsuntos!G17)-Datos!BF17)/Datos!BF17," - ")</f>
        <v>0.179245283018868</v>
      </c>
      <c r="K17" s="462">
        <f>IF(ISNUMBER((((NºAsuntos!C17+NºAsuntos!E17)/NºAsuntos!G17)-Datos!BG17)/Datos!BG17),(((NºAsuntos!C17+NºAsuntos!E17)/NºAsuntos!G17)-Datos!BG17)/Datos!BG17," - ")</f>
        <v>-9.072661581694097E-2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0.11104910714285714</v>
      </c>
      <c r="C18" s="855">
        <f>IF(ISNUMBER(
   IF(Criterios!B14="SI",(Datos!J18-Datos!T18)/Datos!T18,(Datos!J18+Datos!AD18-(Datos!T18+Datos!AL18))/(Datos!T18+Datos!AL18))
     ),IF(Criterios!B14="SI",(Datos!J18-Datos!T18)/Datos!T18,(Datos!J18+Datos!AD18-(Datos!T18+Datos!AL18))/(Datos!T18+Datos!AL18))," - ")</f>
        <v>0.24863151829443964</v>
      </c>
      <c r="D18" s="855">
        <f>IF(ISNUMBER(
   IF(Criterios!B14="SI",(Datos!K18-Datos!U18)/Datos!U18,(Datos!K18+Datos!AE18-(Datos!U18+Datos!AM18))/(Datos!U18+Datos!AM18))
     ),IF(Criterios!B14="SI",(Datos!K18-Datos!U18)/Datos!U18,(Datos!K18+Datos!AE18-(Datos!U18+Datos!AM18))/(Datos!U18+Datos!AM18))," - ")</f>
        <v>0.17782189449801475</v>
      </c>
      <c r="E18" s="855">
        <f>IF(ISNUMBER(
   IF(Criterios!B14="SI",(Datos!L18-Datos!V18)/Datos!V18,(Datos!L18+Datos!AF18-(Datos!V18+Datos!AN18))/(Datos!V18+Datos!AN18))
     ),IF(Criterios!B14="SI",(Datos!L18-Datos!V18)/Datos!V18,(Datos!L18+Datos!AF18-(Datos!V18+Datos!AN18))/(Datos!V18+Datos!AN18))," - ")</f>
        <v>0.26286037309214244</v>
      </c>
      <c r="F18" s="856">
        <f>IF(ISNUMBER((Datos!M18-Datos!W18)/Datos!W18),(Datos!M18-Datos!W18)/Datos!W18," - ")</f>
        <v>0.54046997389033946</v>
      </c>
      <c r="G18" s="857">
        <f>IF(ISNUMBER((Datos!N18-Datos!X18)/Datos!X18),(Datos!N18-Datos!X18)/Datos!X18," - ")</f>
        <v>0.13970588235294118</v>
      </c>
      <c r="H18" s="857">
        <f>IF(ISNUMBER(((NºAsuntos!G18/NºAsuntos!E18)-Datos!BD18)/Datos!BD18),((NºAsuntos!G18/NºAsuntos!E18)-Datos!BD18)/Datos!BD18," - ")</f>
        <v>-5.6709784078770323E-2</v>
      </c>
      <c r="I18" s="857">
        <f>IF(ISNUMBER(((NºAsuntos!I18/NºAsuntos!G18)-Datos!BE18)/Datos!BE18),((NºAsuntos!I18/NºAsuntos!G18)-Datos!BE18)/Datos!BE18," - ")</f>
        <v>7.2199777395351342E-2</v>
      </c>
      <c r="J18" s="857">
        <f>IF(ISNUMBER((('Resol  Asuntos'!D18/NºAsuntos!G18)-Datos!BF18)/Datos!BF18),(('Resol  Asuntos'!D18/NºAsuntos!G18)-Datos!BF18)/Datos!BF18," - ")</f>
        <v>0.30789721356545535</v>
      </c>
      <c r="K18" s="857">
        <f>IF(ISNUMBER((((NºAsuntos!C18+NºAsuntos!E18)/NºAsuntos!G18)-Datos!BG18)/Datos!BG18),(((NºAsuntos!C18+NºAsuntos!E18)/NºAsuntos!G18)-Datos!BG18)/Datos!BG18," - ")</f>
        <v>2.0346165405429408E-2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-9.813542688910696E-4</v>
      </c>
      <c r="C19" s="802">
        <f>IF(ISNUMBER(
   IF(J_V="SI",(Datos!J19-Datos!T19)/Datos!T19,(Datos!J19+Datos!Z19-(Datos!T19+Datos!AH19))/(Datos!T19+Datos!AH19))
     ),IF(J_V="SI",(Datos!J19-Datos!T19)/Datos!T19,(Datos!J19+Datos!Z19-(Datos!T19+Datos!AH19))/(Datos!T19+Datos!AH19))," - ")</f>
        <v>0.27570907938520045</v>
      </c>
      <c r="D19" s="802">
        <f>IF(ISNUMBER(
   IF(J_V="SI",(Datos!K19-Datos!U19)/Datos!U19,(Datos!K19+Datos!AA19-(Datos!U19+Datos!AI19))/(Datos!U19+Datos!AI19))
     ),IF(J_V="SI",(Datos!K19-Datos!U19)/Datos!U19,(Datos!K19+Datos!AA19-(Datos!U19+Datos!AI19))/(Datos!U19+Datos!AI19))," - ")</f>
        <v>0.18021365536460751</v>
      </c>
      <c r="E19" s="802">
        <f>IF(ISNUMBER(
   IF(J_V="SI",(Datos!L19-Datos!V19)/Datos!V19,(Datos!L19+Datos!AB19-(Datos!V19+Datos!AJ19))/(Datos!V19+Datos!AJ19))
     ),IF(J_V="SI",(Datos!L19-Datos!V19)/Datos!V19,(Datos!L19+Datos!AB19-(Datos!V19+Datos!AJ19))/(Datos!V19+Datos!AJ19))," - ")</f>
        <v>7.44151319064211E-2</v>
      </c>
      <c r="F19" s="803">
        <f>IF(ISNUMBER((Datos!M19-Datos!W19)/Datos!W19),(Datos!M19-Datos!W19)/Datos!W19," - ")</f>
        <v>0.6097560975609756</v>
      </c>
      <c r="G19" s="804">
        <f>IF(ISNUMBER((Datos!N19-Datos!X19)/Datos!X19),(Datos!N19-Datos!X19)/Datos!X19," - ")</f>
        <v>0.11231051906293064</v>
      </c>
      <c r="H19" s="805">
        <f>IF(ISNUMBER((Tasas!B19-Datos!BD19)/Datos!BD19),(Tasas!B19-Datos!BD19)/Datos!BD19," - ")</f>
        <v>-7.4856740901001417E-2</v>
      </c>
      <c r="I19" s="806">
        <f>IF(ISNUMBER((Tasas!C19-Datos!BE19)/Datos!BE19),(Tasas!C19-Datos!BE19)/Datos!BE19," - ")</f>
        <v>-8.9643534437416475E-2</v>
      </c>
      <c r="J19" s="807">
        <f>IF(ISNUMBER((Tasas!D19-Datos!BF19)/Datos!BF19),(Tasas!D19-Datos!BF19)/Datos!BF19," - ")</f>
        <v>-0.46275733000623837</v>
      </c>
      <c r="K19" s="807">
        <f>IF(ISNUMBER((Tasas!E19-Datos!BG19)/Datos!BG19),(Tasas!E19-Datos!BG19)/Datos!BG19," - ")</f>
        <v>-5.1227843726570854E-2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85Ve1WSbVCfzw/lX/L8ph/p6WjLw6JAqK1RiFiDAymF1gXJjdt0Z9v4uBX+HGV6g4AzAAw0Qn+MSzdeX7syYw==" saltValue="PsBaMBDNL7CDwf66NxWF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ARRECIFE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0.93120260021668477</v>
      </c>
      <c r="C9" s="443">
        <f>IF(ISNUMBER(NºAsuntos!I9/NºAsuntos!G9),NºAsuntos!I9/NºAsuntos!G9," - ")</f>
        <v>1.8571844095404304</v>
      </c>
      <c r="D9" s="444">
        <f>IF(ISNUMBER('Resol  Asuntos'!D9/NºAsuntos!G9),'Resol  Asuntos'!D9/NºAsuntos!G9," - ")</f>
        <v>0.24607329842931938</v>
      </c>
      <c r="E9" s="445">
        <f>IF(ISNUMBER((NºAsuntos!C9+NºAsuntos!E9)/NºAsuntos!G9),(NºAsuntos!C9+NºAsuntos!E9)/NºAsuntos!G9," - ")</f>
        <v>2.8571844095404306</v>
      </c>
      <c r="G9" s="463"/>
    </row>
    <row r="10" spans="1:7">
      <c r="A10" s="402" t="str">
        <f>Datos!A10</f>
        <v>Jdos. Violencia contra la mujer</v>
      </c>
      <c r="B10" s="442">
        <f>IF(ISNUMBER(NºAsuntos!G10/NºAsuntos!E10),NºAsuntos!G10/NºAsuntos!E10," - ")</f>
        <v>1.2916666666666667</v>
      </c>
      <c r="C10" s="443">
        <f>IF(ISNUMBER(NºAsuntos!I10/NºAsuntos!G10),NºAsuntos!I10/NºAsuntos!G10," - ")</f>
        <v>0.4838709677419355</v>
      </c>
      <c r="D10" s="444">
        <f>IF(ISNUMBER('Resol  Asuntos'!D10/NºAsuntos!G10),'Resol  Asuntos'!D10/NºAsuntos!G10," - ")</f>
        <v>0.5161290322580645</v>
      </c>
      <c r="E10" s="445">
        <f>IF(ISNUMBER((NºAsuntos!C10+NºAsuntos!E10)/NºAsuntos!G10),(NºAsuntos!C10+NºAsuntos!E10)/NºAsuntos!G10," - ")</f>
        <v>1.4838709677419355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0</v>
      </c>
      <c r="D12" s="444">
        <f>IF(ISNUMBER('Resol  Asuntos'!D12/NºAsuntos!G12),'Resol  Asuntos'!D12/NºAsuntos!G12," - ")</f>
        <v>0</v>
      </c>
      <c r="E12" s="445">
        <f>IF(ISNUMBER((NºAsuntos!C12+NºAsuntos!E12)/NºAsuntos!G12),(NºAsuntos!C12+NºAsuntos!E12)/NºAsuntos!G12," - ")</f>
        <v>1</v>
      </c>
      <c r="G12" s="463"/>
    </row>
    <row r="13" spans="1:7" ht="14.25" thickTop="1" thickBot="1">
      <c r="A13" s="848" t="str">
        <f>Datos!A13</f>
        <v>TOTAL</v>
      </c>
      <c r="B13" s="858">
        <f>IF(ISNUMBER(NºAsuntos!G13/NºAsuntos!E13),NºAsuntos!G13/NºAsuntos!E13," - ")</f>
        <v>0.93354856066720471</v>
      </c>
      <c r="C13" s="859">
        <f>IF(ISNUMBER(NºAsuntos!I13/NºAsuntos!G13),NºAsuntos!I13/NºAsuntos!G13," - ")</f>
        <v>1.8443804034582132</v>
      </c>
      <c r="D13" s="860">
        <f>IF(ISNUMBER('Resol  Asuntos'!D13/NºAsuntos!G13),'Resol  Asuntos'!D13/NºAsuntos!G13," - ")</f>
        <v>0.2484149855907781</v>
      </c>
      <c r="E13" s="861">
        <f>IF(ISNUMBER((NºAsuntos!C13+NºAsuntos!E13)/NºAsuntos!G13),(NºAsuntos!C13+NºAsuntos!E13)/NºAsuntos!G13," - ")</f>
        <v>2.8443804034582132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0.95354464069683043</v>
      </c>
      <c r="C15" s="443">
        <f>IF(ISNUMBER(NºAsuntos!I15/NºAsuntos!G15),NºAsuntos!I15/NºAsuntos!G15," - ")</f>
        <v>0.54377061659477288</v>
      </c>
      <c r="D15" s="444">
        <f>IF(ISNUMBER('Resol  Asuntos'!D15/NºAsuntos!G15),'Resol  Asuntos'!D15/NºAsuntos!G15," - ")</f>
        <v>0.12940877949758944</v>
      </c>
      <c r="E15" s="445">
        <f>IF(ISNUMBER((NºAsuntos!C15+NºAsuntos!E15)/NºAsuntos!G15),(NºAsuntos!C15+NºAsuntos!E15)/NºAsuntos!G15," - ")</f>
        <v>1.5282923115960416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1.0547263681592041</v>
      </c>
      <c r="C17" s="443">
        <f>IF(ISNUMBER(NºAsuntos!I17/NºAsuntos!G17),NºAsuntos!I17/NºAsuntos!G17," - ")</f>
        <v>0.42924528301886794</v>
      </c>
      <c r="D17" s="444">
        <f>IF(ISNUMBER('Resol  Asuntos'!D17/NºAsuntos!G17),'Resol  Asuntos'!D17/NºAsuntos!G17," - ")</f>
        <v>0.37735849056603776</v>
      </c>
      <c r="E17" s="445">
        <f>IF(ISNUMBER((NºAsuntos!C17+NºAsuntos!E17)/NºAsuntos!G17),(NºAsuntos!C17+NºAsuntos!E17)/NºAsuntos!G17," - ")</f>
        <v>1.4245283018867925</v>
      </c>
      <c r="G17" s="463"/>
    </row>
    <row r="18" spans="1:7" ht="14.25" thickTop="1" thickBot="1">
      <c r="A18" s="848" t="str">
        <f>Datos!A18</f>
        <v>TOTAL</v>
      </c>
      <c r="B18" s="858">
        <f>IF(ISNUMBER(NºAsuntos!G18/NºAsuntos!E18),NºAsuntos!G18/NºAsuntos!E18," - ")</f>
        <v>0.95823719427780341</v>
      </c>
      <c r="C18" s="859">
        <f>IF(ISNUMBER(NºAsuntos!I18/NºAsuntos!G18),NºAsuntos!I18/NºAsuntos!G18," - ")</f>
        <v>0.53792439200577891</v>
      </c>
      <c r="D18" s="862">
        <f>IF(ISNUMBER('Resol  Asuntos'!D18/NºAsuntos!G18),'Resol  Asuntos'!D18/NºAsuntos!G18," - ")</f>
        <v>0.14206597640260052</v>
      </c>
      <c r="E18" s="861">
        <f>IF(ISNUMBER((NºAsuntos!C18+NºAsuntos!E18)/NºAsuntos!G18),(NºAsuntos!C18+NºAsuntos!E18)/NºAsuntos!G18," - ")</f>
        <v>1.5229954249939803</v>
      </c>
      <c r="G18" s="463"/>
    </row>
    <row r="19" spans="1:7" ht="15.75" customHeight="1" thickTop="1" thickBot="1">
      <c r="A19" s="793" t="str">
        <f>Datos!A19</f>
        <v>TOTAL JURISDICCIONES</v>
      </c>
      <c r="B19" s="808">
        <f>IF(ISNUMBER(NºAsuntos!G19/NºAsuntos!E19),NºAsuntos!G19/NºAsuntos!E19," - ")</f>
        <v>0.94683890199975163</v>
      </c>
      <c r="C19" s="809">
        <f>IF(ISNUMBER(NºAsuntos!I19/NºAsuntos!G19),NºAsuntos!I19/NºAsuntos!G19," - ")</f>
        <v>1.1326249508067689</v>
      </c>
      <c r="D19" s="810">
        <f>IF(ISNUMBER('Resol  Asuntos'!D19/NºAsuntos!G19),'Resol  Asuntos'!D19/NºAsuntos!G19," - ")</f>
        <v>0.19047619047619047</v>
      </c>
      <c r="E19" s="811">
        <f>IF(ISNUMBER((NºAsuntos!C19+NºAsuntos!E19)/NºAsuntos!G19),(NºAsuntos!C19+NºAsuntos!E19)/NºAsuntos!G19," - ")</f>
        <v>2.1244916699462153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jd3TY/j0IFJRglFWJSH4qd1c9nmXvVfgAa80U6ty0dQO3Jc86xTIQe+JWlXhQNepemr5DDqRbKOZtrluDOU1g==" saltValue="++PVrXuz0o4Y479Cki0C7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ARRECIFE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630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327</v>
      </c>
      <c r="Y9" s="334">
        <f>SUM(W9:X9)</f>
        <v>327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7317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846</v>
      </c>
      <c r="AJ9" s="229" t="str">
        <f>IF(ISNUMBER(Datos!BW9),Datos!BW9," - ")</f>
        <v xml:space="preserve"> - </v>
      </c>
      <c r="AK9" s="228" t="str">
        <f>IF(ISNUMBER(Datos!BX9),Datos!BX9," - ")</f>
        <v xml:space="preserve"> - </v>
      </c>
      <c r="AL9" s="243">
        <f>IF(ISNUMBER(NºAsuntos!G9/NºAsuntos!E9),NºAsuntos!G9/NºAsuntos!E9," - ")</f>
        <v>0.93120260021668477</v>
      </c>
      <c r="AM9" s="260">
        <f>IF(ISNUMBER(((NºAsuntos!I9/NºAsuntos!G9)*11)/factor_trimestre),((NºAsuntos!I9/NºAsuntos!G9)*11)/factor_trimestre," - ")</f>
        <v>5.5715532286212914</v>
      </c>
      <c r="AN9" s="244">
        <f>IF(ISNUMBER('Resol  Asuntos'!D9/NºAsuntos!G9),'Resol  Asuntos'!D9/NºAsuntos!G9," - ")</f>
        <v>0.24607329842931938</v>
      </c>
      <c r="AO9" s="245">
        <f>IF(ISNUMBER((NºAsuntos!C9+NºAsuntos!E9)/NºAsuntos!G9),(NºAsuntos!C9+NºAsuntos!E9)/NºAsuntos!G9," - ")</f>
        <v>2.8571844095404306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2</v>
      </c>
      <c r="Y10" s="334">
        <f t="shared" ref="Y10:Y12" si="0">SUM(W10:X10)</f>
        <v>33</v>
      </c>
      <c r="Z10" s="335" t="str">
        <f>IF(ISNUMBER(Datos!CC10),Datos!CC10," - ")</f>
        <v xml:space="preserve"> - </v>
      </c>
      <c r="AA10" s="332">
        <f>IF(ISNUMBER(Datos!L10),Datos!L10,"-")</f>
        <v>15</v>
      </c>
      <c r="AB10" s="334">
        <f>IF(ISNUMBER(Datos!R10),Datos!R10," - ")</f>
        <v>32</v>
      </c>
      <c r="AC10" s="334">
        <f t="shared" ref="AC10:AC12" si="1">IF(ISNUMBER(AA10+AB10),AA10+AB10," - ")</f>
        <v>47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1.2916666666666667</v>
      </c>
      <c r="AM10" s="260">
        <f>IF(ISNUMBER(((NºAsuntos!I10/NºAsuntos!G10)*11)/factor_trimestre),((NºAsuntos!I10/NºAsuntos!G10)*11)/factor_trimestre," - ")</f>
        <v>1.4516129032258065</v>
      </c>
      <c r="AN10" s="244">
        <f>IF(ISNUMBER('Resol  Asuntos'!D10/NºAsuntos!G10),'Resol  Asuntos'!D10/NºAsuntos!G10," - ")</f>
        <v>0.5161290322580645</v>
      </c>
      <c r="AO10" s="245">
        <f>IF(ISNUMBER((NºAsuntos!C10+NºAsuntos!E10)/NºAsuntos!G10),(NºAsuntos!C10+NºAsuntos!E10)/NºAsuntos!G10," - ")</f>
        <v>1.4838709677419355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79</v>
      </c>
      <c r="Y12" s="334">
        <f t="shared" si="0"/>
        <v>79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0</v>
      </c>
      <c r="AN12" s="244">
        <f>IF(ISNUMBER('Resol  Asuntos'!D12/NºAsuntos!G12),'Resol  Asuntos'!D12/NºAsuntos!G12," - ")</f>
        <v>0</v>
      </c>
      <c r="AO12" s="245">
        <f>IF(ISNUMBER((NºAsuntos!C12+NºAsuntos!E12)/NºAsuntos!G12),(NºAsuntos!C12+NºAsuntos!E12)/NºAsuntos!G12," - ")</f>
        <v>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22</v>
      </c>
      <c r="G13" s="866">
        <f t="shared" si="3"/>
        <v>22</v>
      </c>
      <c r="H13" s="865">
        <f t="shared" si="3"/>
        <v>0</v>
      </c>
      <c r="I13" s="867">
        <f t="shared" si="3"/>
        <v>0</v>
      </c>
      <c r="J13" s="867">
        <f t="shared" si="3"/>
        <v>0</v>
      </c>
      <c r="K13" s="867">
        <f t="shared" si="3"/>
        <v>0</v>
      </c>
      <c r="L13" s="867">
        <f t="shared" si="3"/>
        <v>646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408</v>
      </c>
      <c r="Y13" s="868">
        <f t="shared" si="4"/>
        <v>439</v>
      </c>
      <c r="Z13" s="868">
        <f t="shared" si="4"/>
        <v>0</v>
      </c>
      <c r="AA13" s="868">
        <f t="shared" si="4"/>
        <v>15</v>
      </c>
      <c r="AB13" s="868">
        <f t="shared" si="4"/>
        <v>7594</v>
      </c>
      <c r="AC13" s="868">
        <f t="shared" si="4"/>
        <v>47</v>
      </c>
      <c r="AD13" s="868">
        <f t="shared" si="4"/>
        <v>0</v>
      </c>
      <c r="AE13" s="872">
        <f t="shared" si="4"/>
        <v>0</v>
      </c>
      <c r="AF13" s="865">
        <f t="shared" si="4"/>
        <v>0</v>
      </c>
      <c r="AG13" s="873">
        <f t="shared" si="4"/>
        <v>0</v>
      </c>
      <c r="AH13" s="870">
        <f t="shared" si="4"/>
        <v>0</v>
      </c>
      <c r="AI13" s="865">
        <f t="shared" si="4"/>
        <v>862</v>
      </c>
      <c r="AJ13" s="867">
        <f t="shared" si="4"/>
        <v>0</v>
      </c>
      <c r="AK13" s="870">
        <f>SUBTOTAL(9,AK9:AK12)</f>
        <v>0</v>
      </c>
      <c r="AL13" s="874">
        <f>IF(ISNUMBER(NºAsuntos!G13/NºAsuntos!E13),NºAsuntos!G13/NºAsuntos!E13," - ")</f>
        <v>0.93354856066720471</v>
      </c>
      <c r="AM13" s="874">
        <f>IF(ISNUMBER(((NºAsuntos!I13/NºAsuntos!G13)*11)/factor_trimestre),((NºAsuntos!I13/NºAsuntos!G13)*11)/factor_trimestre," - ")</f>
        <v>5.53314121037464</v>
      </c>
      <c r="AN13" s="875">
        <f>IF(ISNUMBER('Resol  Asuntos'!D13/NºAsuntos!G13),'Resol  Asuntos'!D13/NºAsuntos!G13," - ")</f>
        <v>0.2484149855907781</v>
      </c>
      <c r="AO13" s="876">
        <f>IF(ISNUMBER((NºAsuntos!C13+NºAsuntos!E13)/NºAsuntos!G13),(NºAsuntos!C13+NºAsuntos!E13)/NºAsuntos!G13," - ")</f>
        <v>2.8443804034582132</v>
      </c>
      <c r="AP13" s="877" t="str">
        <f t="shared" si="2"/>
        <v xml:space="preserve"> - </v>
      </c>
      <c r="AQ13" s="877">
        <f>IF(ISNUMBER((H13-W13+K13)/(F13)),(H13-W13+K13)/(F13)," - ")</f>
        <v>-1.4090909090909092</v>
      </c>
      <c r="AR13" s="878">
        <f>IF(ISNUMBER((Datos!P13-Datos!Q13)/(Datos!R13-Datos!P13+Datos!Q13)),(Datos!P13-Datos!Q13)/(Datos!R13-Datos!P13+Datos!Q13)," - ")</f>
        <v>3.2354540511147362E-2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1951</v>
      </c>
      <c r="G15" s="333">
        <f>IF(ISNUMBER(IF(D_I="SI",Datos!I15,Datos!I15+Datos!AC15)),IF(D_I="SI",Datos!I15,Datos!I15+Datos!AC15)," - ")</f>
        <v>1890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3941</v>
      </c>
      <c r="X15" s="226">
        <f>IF(ISNUMBER(Datos!Q15),Datos!Q15," - ")</f>
        <v>119</v>
      </c>
      <c r="Y15" s="334">
        <f>SUM(W15)</f>
        <v>3941</v>
      </c>
      <c r="Z15" s="335" t="str">
        <f>IF(ISNUMBER(Datos!CC15),Datos!CC15," - ")</f>
        <v xml:space="preserve"> - </v>
      </c>
      <c r="AA15" s="332">
        <f>IF(ISNUMBER(IF(D_I="SI",Datos!L15,Datos!L15+Datos!AF15)),IF(D_I="SI",Datos!L15,Datos!L15+Datos!AF15)," - ")</f>
        <v>2143</v>
      </c>
      <c r="AB15" s="334">
        <f>IF(ISNUMBER(Datos!R15),Datos!R15," - ")</f>
        <v>345</v>
      </c>
      <c r="AC15" s="334">
        <f t="shared" ref="AC15:AC17" si="6">IF(ISNUMBER(AA15+AB15),AA15+AB15," - ")</f>
        <v>2488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510</v>
      </c>
      <c r="AJ15" s="231" t="str">
        <f>IF(ISNUMBER(Datos!BW15),Datos!BW15," - ")</f>
        <v xml:space="preserve"> - </v>
      </c>
      <c r="AK15" s="232" t="str">
        <f>IF(ISNUMBER(Datos!BX15),Datos!BX15," - ")</f>
        <v xml:space="preserve"> - </v>
      </c>
      <c r="AL15" s="243">
        <f>IF(ISNUMBER(NºAsuntos!G15/NºAsuntos!E15),NºAsuntos!G15/NºAsuntos!E15," - ")</f>
        <v>0.95354464069683043</v>
      </c>
      <c r="AM15" s="260">
        <f>IF(ISNUMBER(((NºAsuntos!I15/NºAsuntos!G15)*11)/factor_trimestre),((NºAsuntos!I15/NºAsuntos!G15)*11)/factor_trimestre," - ")</f>
        <v>1.6313118497843186</v>
      </c>
      <c r="AN15" s="244">
        <f>IF(ISNUMBER('Resol  Asuntos'!D15/NºAsuntos!G15),'Resol  Asuntos'!D15/NºAsuntos!G15," - ")</f>
        <v>0.12940877949758944</v>
      </c>
      <c r="AO15" s="245">
        <f>IF(ISNUMBER((NºAsuntos!C15+NºAsuntos!E15)/NºAsuntos!G15),(NºAsuntos!C15+NºAsuntos!E15)/NºAsuntos!G15," - ")</f>
        <v>1.5282923115960416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0</v>
      </c>
      <c r="G16" s="333">
        <f>IF(ISNUMBER(IF(D_I="SI",Datos!I16,Datos!I16+Datos!AC16)),IF(D_I="SI",Datos!I16,Datos!I16+Datos!AC16)," - ")</f>
        <v>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0</v>
      </c>
      <c r="AB16" s="334">
        <f>IF(ISNUMBER(Datos!R16),Datos!R16," - ")</f>
        <v>1</v>
      </c>
      <c r="AC16" s="334">
        <f t="shared" si="6"/>
        <v>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212</v>
      </c>
      <c r="X17" s="226">
        <f>IF(ISNUMBER(Datos!Q17),Datos!Q17," - ")</f>
        <v>19</v>
      </c>
      <c r="Y17" s="334">
        <f t="shared" si="7"/>
        <v>231</v>
      </c>
      <c r="Z17" s="335" t="str">
        <f>IF(ISNUMBER(Datos!CC17),Datos!CC17," - ")</f>
        <v xml:space="preserve"> - </v>
      </c>
      <c r="AA17" s="332">
        <f>IF(ISNUMBER(Datos!L17),Datos!L17,"-")</f>
        <v>91</v>
      </c>
      <c r="AB17" s="334">
        <f>IF(ISNUMBER(Datos!R17),Datos!R17," - ")</f>
        <v>31</v>
      </c>
      <c r="AC17" s="334">
        <f t="shared" si="6"/>
        <v>122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80</v>
      </c>
      <c r="AJ17" s="231" t="str">
        <f>IF(ISNUMBER(Datos!BW17),Datos!BW17," - ")</f>
        <v xml:space="preserve"> - </v>
      </c>
      <c r="AK17" s="232" t="str">
        <f>IF(ISNUMBER(Datos!BX17),Datos!BX17," - ")</f>
        <v xml:space="preserve"> - </v>
      </c>
      <c r="AL17" s="243">
        <f>IF(ISNUMBER(NºAsuntos!G17/NºAsuntos!E17),NºAsuntos!G17/NºAsuntos!E17," - ")</f>
        <v>1.0547263681592041</v>
      </c>
      <c r="AM17" s="260">
        <f>IF(ISNUMBER(((NºAsuntos!I17/NºAsuntos!G17)*11)/factor_trimestre),((NºAsuntos!I17/NºAsuntos!G17)*11)/factor_trimestre," - ")</f>
        <v>1.2877358490566038</v>
      </c>
      <c r="AN17" s="244">
        <f>IF(ISNUMBER('Resol  Asuntos'!D17/NºAsuntos!G17),'Resol  Asuntos'!D17/NºAsuntos!G17," - ")</f>
        <v>0.37735849056603776</v>
      </c>
      <c r="AO17" s="245">
        <f>IF(ISNUMBER((NºAsuntos!C17+NºAsuntos!E17)/NºAsuntos!G17),(NºAsuntos!C17+NºAsuntos!E17)/NºAsuntos!G17," - ")</f>
        <v>1.4245283018867925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1951</v>
      </c>
      <c r="G18" s="866">
        <f>SUBTOTAL(9,G15:G17)</f>
        <v>1991</v>
      </c>
      <c r="H18" s="865">
        <f t="shared" ref="H18:O18" si="10">SUBTOTAL(9,H14:H17)</f>
        <v>0</v>
      </c>
      <c r="I18" s="867">
        <f t="shared" si="10"/>
        <v>0</v>
      </c>
      <c r="J18" s="867">
        <f t="shared" si="10"/>
        <v>0</v>
      </c>
      <c r="K18" s="867">
        <f t="shared" si="10"/>
        <v>0</v>
      </c>
      <c r="L18" s="867">
        <f t="shared" si="10"/>
        <v>131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4153</v>
      </c>
      <c r="X18" s="867">
        <f t="shared" si="11"/>
        <v>138</v>
      </c>
      <c r="Y18" s="868">
        <f t="shared" si="11"/>
        <v>4172</v>
      </c>
      <c r="Z18" s="868">
        <f t="shared" si="11"/>
        <v>0</v>
      </c>
      <c r="AA18" s="868">
        <f t="shared" si="11"/>
        <v>2234</v>
      </c>
      <c r="AB18" s="868">
        <f t="shared" si="11"/>
        <v>377</v>
      </c>
      <c r="AC18" s="868">
        <f t="shared" si="11"/>
        <v>2611</v>
      </c>
      <c r="AD18" s="868">
        <f t="shared" si="11"/>
        <v>0</v>
      </c>
      <c r="AE18" s="872">
        <f t="shared" si="11"/>
        <v>0</v>
      </c>
      <c r="AF18" s="865">
        <f t="shared" si="11"/>
        <v>0</v>
      </c>
      <c r="AG18" s="873">
        <f t="shared" si="11"/>
        <v>0</v>
      </c>
      <c r="AH18" s="870">
        <f t="shared" si="11"/>
        <v>0</v>
      </c>
      <c r="AI18" s="865">
        <f t="shared" si="11"/>
        <v>590</v>
      </c>
      <c r="AJ18" s="867">
        <f t="shared" si="11"/>
        <v>0</v>
      </c>
      <c r="AK18" s="870">
        <f t="shared" si="11"/>
        <v>0</v>
      </c>
      <c r="AL18" s="874">
        <f>IF(ISNUMBER(NºAsuntos!G18/NºAsuntos!E18),NºAsuntos!G18/NºAsuntos!E18," - ")</f>
        <v>0.95823719427780341</v>
      </c>
      <c r="AM18" s="874">
        <f>IF(ISNUMBER(((NºAsuntos!I18/NºAsuntos!G18)*11)/factor_trimestre),((NºAsuntos!I18/NºAsuntos!G18)*11)/factor_trimestre," - ")</f>
        <v>1.6137731760173368</v>
      </c>
      <c r="AN18" s="875">
        <f>IF(ISNUMBER('Resol  Asuntos'!D18/NºAsuntos!G18),'Resol  Asuntos'!D18/NºAsuntos!G18," - ")</f>
        <v>0.14206597640260052</v>
      </c>
      <c r="AO18" s="876">
        <f>IF(ISNUMBER((NºAsuntos!C18+NºAsuntos!E18)/NºAsuntos!G18),(NºAsuntos!C18+NºAsuntos!E18)/NºAsuntos!G18," - ")</f>
        <v>1.5229954249939803</v>
      </c>
      <c r="AP18" s="877" t="str">
        <f t="shared" si="2"/>
        <v xml:space="preserve"> - </v>
      </c>
      <c r="AQ18" s="877">
        <f>IF(ISNUMBER((H18-W18+K18)/(F18)),(H18-W18+K18)/(F18)," - ")</f>
        <v>-2.1286519733470017</v>
      </c>
      <c r="AR18" s="878">
        <f>IF(ISNUMBER((Datos!P18-Datos!Q18)/(Datos!R18-Datos!P18+Datos!Q18)),(Datos!P18-Datos!Q18)/(Datos!R18-Datos!P18+Datos!Q18)," - ")</f>
        <v>-1.8229166666666668E-2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1973</v>
      </c>
      <c r="G19" s="821">
        <f t="shared" si="13"/>
        <v>2013</v>
      </c>
      <c r="H19" s="820">
        <f t="shared" si="13"/>
        <v>0</v>
      </c>
      <c r="I19" s="822">
        <f t="shared" si="13"/>
        <v>0</v>
      </c>
      <c r="J19" s="822">
        <f t="shared" si="13"/>
        <v>0</v>
      </c>
      <c r="K19" s="881">
        <f t="shared" si="13"/>
        <v>0</v>
      </c>
      <c r="L19" s="822">
        <f t="shared" si="13"/>
        <v>777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4184</v>
      </c>
      <c r="X19" s="821">
        <f t="shared" si="14"/>
        <v>546</v>
      </c>
      <c r="Y19" s="828">
        <f t="shared" si="14"/>
        <v>4611</v>
      </c>
      <c r="Z19" s="828">
        <f t="shared" si="14"/>
        <v>0</v>
      </c>
      <c r="AA19" s="828">
        <f t="shared" si="14"/>
        <v>2249</v>
      </c>
      <c r="AB19" s="828">
        <f t="shared" si="14"/>
        <v>7971</v>
      </c>
      <c r="AC19" s="828">
        <f t="shared" si="14"/>
        <v>2658</v>
      </c>
      <c r="AD19" s="828">
        <f t="shared" si="14"/>
        <v>0</v>
      </c>
      <c r="AE19" s="830">
        <f t="shared" si="14"/>
        <v>0</v>
      </c>
      <c r="AF19" s="831">
        <f t="shared" si="14"/>
        <v>0</v>
      </c>
      <c r="AG19" s="832">
        <f t="shared" si="14"/>
        <v>0</v>
      </c>
      <c r="AH19" s="830">
        <f t="shared" si="14"/>
        <v>0</v>
      </c>
      <c r="AI19" s="820">
        <f t="shared" si="14"/>
        <v>1452</v>
      </c>
      <c r="AJ19" s="820">
        <f t="shared" si="14"/>
        <v>0</v>
      </c>
      <c r="AK19" s="830">
        <f t="shared" si="14"/>
        <v>0</v>
      </c>
      <c r="AL19" s="884">
        <f>IF(ISNUMBER(NºAsuntos!G19/NºAsuntos!E19),NºAsuntos!G19/NºAsuntos!E19," - ")</f>
        <v>0.94683890199975163</v>
      </c>
      <c r="AM19" s="885">
        <f>IF(ISNUMBER(((NºAsuntos!I19/NºAsuntos!G19)*11)/factor_trimestre),((NºAsuntos!I19/NºAsuntos!G19)*11)/factor_trimestre," - ")</f>
        <v>3.3978748524203071</v>
      </c>
      <c r="AN19" s="885">
        <f>IF(ISNUMBER('Resol  Asuntos'!D19/NºAsuntos!G19),'Resol  Asuntos'!D19/NºAsuntos!G19," - ")</f>
        <v>0.19047619047619047</v>
      </c>
      <c r="AO19" s="886">
        <f>IF(ISNUMBER((NºAsuntos!C19+NºAsuntos!E19)/NºAsuntos!G19),(NºAsuntos!C19+NºAsuntos!E19)/NºAsuntos!G19," - ")</f>
        <v>2.1244916699462153</v>
      </c>
      <c r="AP19" s="887" t="str">
        <f t="shared" si="2"/>
        <v xml:space="preserve"> - </v>
      </c>
      <c r="AQ19" s="888">
        <f>IF(OR(ISNUMBER(FIND("01",Criterios!A8,1)),ISNUMBER(FIND("02",Criterios!A8,1)),ISNUMBER(FIND("03",Criterios!A8,1)),ISNUMBER(FIND("04",Criterios!A8,1))),(I19-W19+K19)/(F19-K19),(H19-W19+K19)/(F19-K19))</f>
        <v>-2.1206284845413075</v>
      </c>
      <c r="AR19" s="889">
        <f>IF(ISNUMBER((Datos!P19-Datos!Q19)/(Datos!R19-Datos!P19+Datos!Q19)),(Datos!P19-Datos!Q19)/(Datos!R19-Datos!P19+Datos!Q19)," - ")</f>
        <v>2.9844961240310077E-2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671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2.3979157616563596</v>
      </c>
      <c r="F21" s="252">
        <f>IF(ISNUMBER(STDEV(F8:F18)),STDEV(F8:F18),"-")</f>
        <v>1060.6114745749264</v>
      </c>
      <c r="G21" s="253">
        <f>IF(ISNUMBER(STDEV(G8:G18)),STDEV(G8:G18),"-")</f>
        <v>984.46980654563504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2056.9484842034008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381.62509650927609</v>
      </c>
      <c r="AJ21" s="252">
        <f t="shared" si="18"/>
        <v>0</v>
      </c>
      <c r="AK21" s="254">
        <f t="shared" si="18"/>
        <v>0</v>
      </c>
      <c r="AL21" s="249">
        <f t="shared" si="18"/>
        <v>0.12842432348120558</v>
      </c>
      <c r="AM21" s="250">
        <f t="shared" si="18"/>
        <v>2.1973084020802562</v>
      </c>
      <c r="AN21" s="250">
        <f t="shared" si="18"/>
        <v>0.17057914083514905</v>
      </c>
      <c r="AO21" s="251">
        <f t="shared" si="18"/>
        <v>0.73476827381139131</v>
      </c>
      <c r="AP21" s="291" t="str">
        <f t="shared" si="18"/>
        <v>-</v>
      </c>
      <c r="AQ21" s="292">
        <f t="shared" si="18"/>
        <v>0.50880650801329175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5JRweP+pPTskdW6EQfFI4BdZd7zZRiHCmmRw0Y9hZMG1hxwLJ86bZvAJZZScrqTSJzKFn1+BeUCuhu5hDCZYw==" saltValue="Vn2r8gAUuBCcp67AHX74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ARRECIFE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0.67193675889328064</v>
      </c>
      <c r="I9" s="350">
        <f>IF(ISNUMBER((Tasas!C9-Datos!BE9)/Datos!BE9),(Tasas!C9-Datos!BE9)/Datos!BE9," - ")</f>
        <v>-0.13778884681019191</v>
      </c>
      <c r="J9" s="349">
        <f>IF(ISNUMBER((Tasas!D9-Datos!BF9)/Datos!BF9),(Tasas!D9-Datos!BF9)/Datos!BF9," - ")</f>
        <v>-0.62203662151306138</v>
      </c>
      <c r="K9" s="351">
        <f>IF(ISNUMBER((Tasas!E9-Datos!BG9)/Datos!BG9),(Tasas!E9-Datos!BG9)/Datos!BG9," - ")</f>
        <v>-9.4101535507222514E-2</v>
      </c>
      <c r="M9" t="e">
        <f>IF(Monitorios="SI",Datos!CE9,0)</f>
        <v>#REF!</v>
      </c>
      <c r="N9" t="e">
        <f>IF(Monitorios="SI",Datos!CF9,0)</f>
        <v>#REF!</v>
      </c>
      <c r="O9" t="e">
        <f>IF(Monitorios="SI",Datos!CG9,0)</f>
        <v>#REF!</v>
      </c>
      <c r="P9" t="e">
        <f>IF(Monitorios="SI",Datos!CH9,0)</f>
        <v>#REF!</v>
      </c>
      <c r="Q9">
        <f>IF(J_V="SI",0,Datos!AG9)</f>
        <v>174</v>
      </c>
      <c r="R9">
        <f>IF(J_V="SI",0,Datos!AH9)</f>
        <v>152</v>
      </c>
      <c r="S9">
        <f>IF(J_V="SI",0,Datos!AI9)</f>
        <v>130</v>
      </c>
      <c r="T9">
        <f>IF(J_V="SI",0,Datos!AJ9)</f>
        <v>196</v>
      </c>
    </row>
    <row r="10" spans="2:20" ht="14.25">
      <c r="B10" s="275" t="s">
        <v>246</v>
      </c>
      <c r="C10" s="7" t="str">
        <f>Datos!A10</f>
        <v>Jdos. Violencia contra la mujer</v>
      </c>
      <c r="D10" s="352">
        <f>IF(ISNUMBER((Datos!I10-Datos!S10)/Datos!S10),(Datos!I10-Datos!S10)/Datos!S10," - ")</f>
        <v>0.69230769230769229</v>
      </c>
      <c r="E10" s="348">
        <f>IF(ISNUMBER((Datos!J10-Datos!T10)/Datos!T10),(Datos!J10-Datos!T10)/Datos!T10," - ")</f>
        <v>-0.1111111111111111</v>
      </c>
      <c r="F10" s="348">
        <f>IF(ISNUMBER((Datos!K10-Datos!U10)/Datos!U10),(Datos!K10-Datos!U10)/Datos!U10," - ")</f>
        <v>0.19230769230769232</v>
      </c>
      <c r="G10" s="349">
        <f>IF(ISNUMBER((Datos!L10-Datos!V10)/Datos!V10),(Datos!L10-Datos!V10)/Datos!V10," - ")</f>
        <v>7.1428571428571425E-2</v>
      </c>
      <c r="H10" s="230">
        <f>IF(ISNUMBER((Datos!M10-Datos!W10)/Datos!W10),(Datos!M10-Datos!W10)/Datos!W10," - ")</f>
        <v>0.23076923076923078</v>
      </c>
      <c r="I10" s="350">
        <f>IF(ISNUMBER((Tasas!C10-Datos!BE10)/Datos!BE10),(Tasas!C10-Datos!BE10)/Datos!BE10," - ")</f>
        <v>-0.10138248847926261</v>
      </c>
      <c r="J10" s="349">
        <f>IF(ISNUMBER((Tasas!D10-Datos!BF10)/Datos!BF10),(Tasas!D10-Datos!BF10)/Datos!BF10," - ")</f>
        <v>3.2258064516129004E-2</v>
      </c>
      <c r="K10" s="351">
        <f>IF(ISNUMBER((Tasas!E10-Datos!BG10)/Datos!BG10),(Tasas!E10-Datos!BG10)/Datos!BG10," - ")</f>
        <v>-3.5483870967741978E-2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f>IF(ISNUMBER((Tasas!D12-Datos!BF12)/Datos!BF12),(Tasas!D12-Datos!BF12)/Datos!BF12," - ")</f>
        <v>-1</v>
      </c>
      <c r="K12" s="351">
        <f>IF(ISNUMBER((Tasas!E12-Datos!BG12)/Datos!BG12),(Tasas!E12-Datos!BG12)/Datos!BG12," - ")</f>
        <v>0</v>
      </c>
      <c r="M12" t="e">
        <f>IF(Monitorios="SI",Datos!CE12,0)</f>
        <v>#REF!</v>
      </c>
      <c r="N12" t="e">
        <f>IF(Monitorios="SI",Datos!CF12,0)</f>
        <v>#REF!</v>
      </c>
      <c r="O12" t="e">
        <f>IF(Monitorios="SI",Datos!CG12,0)</f>
        <v>#REF!</v>
      </c>
      <c r="P12" t="e">
        <f>IF(Monitorios="SI",Datos!CH12,0)</f>
        <v>#REF!</v>
      </c>
      <c r="Q12">
        <f>IF(J_V="SI",0,Datos!AG12)</f>
        <v>0</v>
      </c>
      <c r="R12">
        <f>IF(J_V="SI",0,Datos!AH12)</f>
        <v>3</v>
      </c>
      <c r="S12">
        <f>IF(J_V="SI",0,Datos!AI12)</f>
        <v>3</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0.66088631984585744</v>
      </c>
      <c r="I13" s="357">
        <f>IF(ISNUMBER((Tasas!C13-Datos!BE13)/Datos!BE13),(Tasas!C13-Datos!BE13)/Datos!BE13," - ")</f>
        <v>-0.13681702196538384</v>
      </c>
      <c r="J13" s="355">
        <f>IF(ISNUMBER((Tasas!D13-Datos!BF13)/Datos!BF13),(Tasas!D13-Datos!BF13)/Datos!BF13," - ")</f>
        <v>-0.61793332315796945</v>
      </c>
      <c r="K13" s="358">
        <f>IF(ISNUMBER((Tasas!E13-Datos!BG13)/Datos!BG13),(Tasas!E13-Datos!BG13)/Datos!BG13," - ")</f>
        <v>-9.3199160506202222E-2</v>
      </c>
      <c r="M13" t="e">
        <f>IF(Monitorios="SI",Datos!CE13,0)</f>
        <v>#REF!</v>
      </c>
      <c r="N13" t="e">
        <f>IF(Monitorios="SI",Datos!CF13,0)</f>
        <v>#REF!</v>
      </c>
      <c r="O13" t="e">
        <f>IF(Monitorios="SI",Datos!CG13,0)</f>
        <v>#REF!</v>
      </c>
      <c r="P13" t="e">
        <f>IF(Monitorios="SI",Datos!CH13,0)</f>
        <v>#REF!</v>
      </c>
      <c r="Q13">
        <f>IF(J_V="SI",0,Datos!AG13)</f>
        <v>174</v>
      </c>
      <c r="R13">
        <f>IF(J_V="SI",0,Datos!AH13)</f>
        <v>155</v>
      </c>
      <c r="S13">
        <f>IF(J_V="SI",0,Datos!AI13)</f>
        <v>133</v>
      </c>
      <c r="T13">
        <f>IF(J_V="SI",0,Datos!AJ13)</f>
        <v>196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0.11768184506209343</v>
      </c>
      <c r="E15" s="348">
        <f>IF(ISNUMBER(
   IF(D_I="SI",(Datos!J15-Datos!T15)/Datos!T15,(Datos!J15+Datos!AD15-(Datos!T15+Datos!AL15))/(Datos!T15+Datos!AL15))
     ),IF(D_I="SI",(Datos!J15-Datos!T15)/Datos!T15,(Datos!J15+Datos!AD15-(Datos!T15+Datos!AL15))/(Datos!T15+Datos!AL15))," - ")</f>
        <v>0.23890887290167867</v>
      </c>
      <c r="F15" s="348">
        <f>IF(ISNUMBER(
   IF(D_I="SI",(Datos!K15-Datos!U15)/Datos!U15,(Datos!K15+Datos!AE15-(Datos!U15+Datos!AM15))/(Datos!U15+Datos!AM15))
     ),IF(D_I="SI",(Datos!K15-Datos!U15)/Datos!U15,(Datos!K15+Datos!AE15-(Datos!U15+Datos!AM15))/(Datos!U15+Datos!AM15))," - ")</f>
        <v>0.16735781990521326</v>
      </c>
      <c r="G15" s="349">
        <f>IF(ISNUMBER(
   IF(D_I="SI",(Datos!L15-Datos!V15)/Datos!V15,(Datos!L15+Datos!AF15-(Datos!V15+Datos!AN15))/(Datos!V15+Datos!AN15))
     ),IF(D_I="SI",(Datos!L15-Datos!V15)/Datos!V15,(Datos!L15+Datos!AF15-(Datos!V15+Datos!AN15))/(Datos!V15+Datos!AN15))," - ")</f>
        <v>0.27635497319833235</v>
      </c>
      <c r="H15" s="230">
        <f>IF(ISNUMBER((Datos!M15-Datos!W15)/Datos!W15),(Datos!M15-Datos!W15)/Datos!W15," - ")</f>
        <v>0.52238805970149249</v>
      </c>
      <c r="I15" s="350">
        <f>IF(ISNUMBER((Tasas!C15-Datos!BE15)/Datos!BE15),(Tasas!C15-Datos!BE15)/Datos!BE15," - ")</f>
        <v>9.3370816929096587E-2</v>
      </c>
      <c r="J15" s="349">
        <f>IF(ISNUMBER((Tasas!D15-Datos!BF15)/Datos!BF15),(Tasas!D15-Datos!BF15)/Datos!BF15," - ")</f>
        <v>0.30413146144436398</v>
      </c>
      <c r="K15" s="351">
        <f>IF(ISNUMBER((Tasas!E15-Datos!BG15)/Datos!BG15),(Tasas!E15-Datos!BG15)/Datos!BG15," - ")</f>
        <v>2.6360621433904243E-2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0.01</v>
      </c>
      <c r="E17" s="348">
        <f>IF(ISNUMBER(
   IF(D_I="SI",(Datos!J17-Datos!T17)/Datos!T17,(Datos!J17+Datos!AD17-(Datos!T17+Datos!AL17))/(Datos!T17+Datos!AL17))
     ),IF(D_I="SI",(Datos!J17-Datos!T17)/Datos!T17,(Datos!J17+Datos!AD17-(Datos!T17+Datos!AL17))/(Datos!T17+Datos!AL17))," - ")</f>
        <v>0.48888888888888887</v>
      </c>
      <c r="F17" s="348">
        <f>IF(ISNUMBER(
   IF(D_I="SI",(Datos!K17-Datos!U17)/Datos!U17,(Datos!K17+Datos!AE17-(Datos!U17+Datos!AM17))/(Datos!U17+Datos!AM17))
     ),IF(D_I="SI",(Datos!K17-Datos!U17)/Datos!U17,(Datos!K17+Datos!AE17-(Datos!U17+Datos!AM17))/(Datos!U17+Datos!AM17))," - ")</f>
        <v>0.41333333333333333</v>
      </c>
      <c r="G17" s="349">
        <f>IF(ISNUMBER(
   IF(D_I="SI",(Datos!L17-Datos!V17)/Datos!V17,(Datos!L17+Datos!AF17-(Datos!V17+Datos!AN17))/(Datos!V17+Datos!AN17))
     ),IF(D_I="SI",(Datos!L17-Datos!V17)/Datos!V17,(Datos!L17+Datos!AF17-(Datos!V17+Datos!AN17))/(Datos!V17+Datos!AN17))," - ")</f>
        <v>2.247191011235955E-2</v>
      </c>
      <c r="H17" s="230">
        <f>IF(ISNUMBER((Datos!M17-Datos!W17)/Datos!W17),(Datos!M17-Datos!W17)/Datos!W17," - ")</f>
        <v>0.66666666666666663</v>
      </c>
      <c r="I17" s="350">
        <f>IF(ISNUMBER((Tasas!C17-Datos!BE17)/Datos!BE17),(Tasas!C17-Datos!BE17)/Datos!BE17," - ")</f>
        <v>-0.2765528937884249</v>
      </c>
      <c r="J17" s="349">
        <f>IF(ISNUMBER((Tasas!D17-Datos!BF17)/Datos!BF17),(Tasas!D17-Datos!BF17)/Datos!BF17," - ")</f>
        <v>0.179245283018868</v>
      </c>
      <c r="K17" s="351">
        <f>IF(ISNUMBER((Tasas!E17-Datos!BG17)/Datos!BG17),(Tasas!E17-Datos!BG17)/Datos!BG17," - ")</f>
        <v>-9.072661581694097E-2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0.11104910714285714</v>
      </c>
      <c r="E18" s="354">
        <f>IF(ISNUMBER(
   IF(D_I="SI",(Datos!J18-Datos!T18)/Datos!T18,(Datos!J18+Datos!AD18-(Datos!T18+Datos!AL18))/(Datos!T18+Datos!AL18))
     ),IF(D_I="SI",(Datos!J18-Datos!T18)/Datos!T18,(Datos!J18+Datos!AD18-(Datos!T18+Datos!AL18))/(Datos!T18+Datos!AL18))," - ")</f>
        <v>0.24863151829443964</v>
      </c>
      <c r="F18" s="354">
        <f>IF(ISNUMBER(
   IF(D_I="SI",(Datos!K18-Datos!U18)/Datos!U18,(Datos!K18+Datos!AE18-(Datos!U18+Datos!AM18))/(Datos!U18+Datos!AM18))
     ),IF(D_I="SI",(Datos!K18-Datos!U18)/Datos!U18,(Datos!K18+Datos!AE18-(Datos!U18+Datos!AM18))/(Datos!U18+Datos!AM18))," - ")</f>
        <v>0.17782189449801475</v>
      </c>
      <c r="G18" s="355">
        <f>IF(ISNUMBER(
   IF(D_I="SI",(Datos!L18-Datos!V18)/Datos!V18,(Datos!L18+Datos!AF18-(Datos!V18+Datos!AN18))/(Datos!V18+Datos!AN18))
     ),IF(D_I="SI",(Datos!L18-Datos!V18)/Datos!V18,(Datos!L18+Datos!AF18-(Datos!V18+Datos!AN18))/(Datos!V18+Datos!AN18))," - ")</f>
        <v>0.26286037309214244</v>
      </c>
      <c r="H18" s="356">
        <f>IF(ISNUMBER((Datos!M18-Datos!W18)/Datos!W18),(Datos!M18-Datos!W18)/Datos!W18," - ")</f>
        <v>0.54046997389033946</v>
      </c>
      <c r="I18" s="357">
        <f>IF(ISNUMBER((Tasas!C18-Datos!BE18)/Datos!BE18),(Tasas!C18-Datos!BE18)/Datos!BE18," - ")</f>
        <v>7.2199777395351342E-2</v>
      </c>
      <c r="J18" s="355">
        <f>IF(ISNUMBER((Tasas!D18-Datos!BF18)/Datos!BF18),(Tasas!D18-Datos!BF18)/Datos!BF18," - ")</f>
        <v>0.30789721356545535</v>
      </c>
      <c r="K18" s="358">
        <f>IF(ISNUMBER((Tasas!E18-Datos!BG18)/Datos!BG18),(Tasas!E18-Datos!BG18)/Datos!BG18," - ")</f>
        <v>2.0346165405429408E-2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-9.813542688910696E-4</v>
      </c>
      <c r="E19" s="363">
        <f>IF(ISNUMBER(
   IF(J_V="SI",(Datos!J19-Datos!T19)/Datos!T19,(Datos!J19+Datos!Z19-(Datos!T19+Datos!AH19))/(Datos!T19+Datos!AH19))
     ),IF(J_V="SI",(Datos!J19-Datos!T19)/Datos!T19,(Datos!J19+Datos!Z19-(Datos!T19+Datos!AH19))/(Datos!T19+Datos!AH19))," - ")</f>
        <v>0.27570907938520045</v>
      </c>
      <c r="F19" s="363">
        <f>IF(ISNUMBER(
   IF(J_V="SI",(Datos!K19-Datos!U19)/Datos!U19,(Datos!K19+Datos!AA19-(Datos!U19+Datos!AI19))/(Datos!U19+Datos!AI19))
     ),IF(J_V="SI",(Datos!K19-Datos!U19)/Datos!U19,(Datos!K19+Datos!AA19-(Datos!U19+Datos!AI19))/(Datos!U19+Datos!AI19))," - ")</f>
        <v>0.18021365536460751</v>
      </c>
      <c r="G19" s="364">
        <f>IF(ISNUMBER(
   IF(J_V="SI",(Datos!L19-Datos!V19)/Datos!V19,(Datos!L19+Datos!AB19-(Datos!V19+Datos!AJ19))/(Datos!V19+Datos!AJ19))
     ),IF(J_V="SI",(Datos!L19-Datos!V19)/Datos!V19,(Datos!L19+Datos!AB19-(Datos!V19+Datos!AJ19))/(Datos!V19+Datos!AJ19))," - ")</f>
        <v>7.44151319064211E-2</v>
      </c>
      <c r="H19" s="365">
        <f>IF(ISNUMBER((Datos!M19-Datos!W19)/Datos!W19),(Datos!M19-Datos!W19)/Datos!W19," - ")</f>
        <v>0.6097560975609756</v>
      </c>
      <c r="I19" s="362">
        <f>IF(ISNUMBER((Tasas!C19-Datos!BE19)/Datos!BE19),(Tasas!C19-Datos!BE19)/Datos!BE19," - ")</f>
        <v>-8.9643534437416475E-2</v>
      </c>
      <c r="J19" s="363">
        <f>IF(ISNUMBER((Tasas!D19-Datos!BF19)/Datos!BF19),(Tasas!D19-Datos!BF19)/Datos!BF19," - ")</f>
        <v>-0.46275733000623837</v>
      </c>
      <c r="K19" s="364">
        <f>IF(ISNUMBER((Tasas!E19-Datos!BG19)/Datos!BG19),(Tasas!E19-Datos!BG19)/Datos!BG19," - ")</f>
        <v>-5.1227843726570854E-2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0.61331470876963246</v>
      </c>
      <c r="E21" s="278">
        <f t="shared" si="1"/>
        <v>0.24702174178455275</v>
      </c>
      <c r="F21" s="278">
        <f t="shared" si="1"/>
        <v>0.11753146966786927</v>
      </c>
      <c r="G21" s="279">
        <f t="shared" si="1"/>
        <v>0.53013061488572066</v>
      </c>
      <c r="H21" s="285">
        <f t="shared" si="1"/>
        <v>0.16942791325639164</v>
      </c>
      <c r="I21" s="277">
        <f t="shared" si="1"/>
        <v>0.14062154154337658</v>
      </c>
      <c r="J21" s="278">
        <f t="shared" si="1"/>
        <v>0.53270121001984061</v>
      </c>
      <c r="K21" s="279">
        <f t="shared" si="1"/>
        <v>5.4728464106022716E-2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5m8T/prARwwATT3eQ3s2Z2C5aA35UX/acEGzUy7kPl26dK3TV+PnnVabIbNU0IGUURlwJBVqB4ncdOqbI4NHQ==" saltValue="Al7Mtd/+TL5YKyiXeyxO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20.429028504944736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24</v>
      </c>
      <c r="F10" s="226">
        <f>IF(ISNUMBER(Datos!K10),Datos!K10," - ")</f>
        <v>31</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-0.31818181818181818</v>
      </c>
      <c r="L10" s="1025">
        <f>IF(ISNUMBER(NºAsuntos!I10/NºAsuntos!G10),(NºAsuntos!I10/NºAsuntos!G10)*11," - ")</f>
        <v>5.32258064516129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0</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24</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1951</v>
      </c>
      <c r="D15" s="225">
        <f>IF(ISNUMBER(IF(D_I="SI",Datos!I15,Datos!I15+Datos!AC15)),IF(D_I="SI",Datos!I15,Datos!I15+Datos!AC15)," - ")</f>
        <v>1890</v>
      </c>
      <c r="E15" s="226">
        <f>IF(ISNUMBER(IF(D_I="SI",Datos!J15,Datos!J15+Datos!AD15)),IF(D_I="SI",Datos!J15,Datos!J15+Datos!AD15)," - ")</f>
        <v>4133</v>
      </c>
      <c r="F15" s="226">
        <f>IF(ISNUMBER(IF(D_I="SI",Datos!K15,Datos!K15+Datos!AE15)),IF(D_I="SI",Datos!K15,Datos!K15+Datos!AE15)," - ")</f>
        <v>3941</v>
      </c>
      <c r="G15" s="1034" t="str">
        <f>IF(Datos!E15&lt;&gt;"",Datos!E15,Datos!D15)</f>
        <v>03</v>
      </c>
      <c r="H15" s="227">
        <f>IF(ISNUMBER(IF(D_I="SI",Datos!L15,Datos!L15+Datos!AF15)),IF(D_I="SI",Datos!L15,Datos!L15+Datos!AF15)," - ")</f>
        <v>2143</v>
      </c>
      <c r="I15" s="1044" t="str">
        <f>IF(ISNUMBER(Datos!AS15/Datos!BM15),Datos!AS15/Datos!BM15," - ")</f>
        <v xml:space="preserve"> - </v>
      </c>
      <c r="J15" s="1045">
        <f>IF(ISNUMBER(Datos!BY15/Datos!CN15),Datos!BY15/Datos!CN15," - ")</f>
        <v>0</v>
      </c>
      <c r="K15" s="230">
        <f t="shared" ref="K15:K17" si="3">IF(ISNUMBER((E15-F15)/C15),(E15-F15)/C15," - ")</f>
        <v>9.8411071245515125E-2</v>
      </c>
      <c r="L15" s="1025">
        <f>IF(ISNUMBER(NºAsuntos!I15/NºAsuntos!G15),(NºAsuntos!I15/NºAsuntos!G15)*11," - ")</f>
        <v>5.9814767825425017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0</v>
      </c>
      <c r="D16" s="225">
        <f>IF(ISNUMBER(IF(D_I="SI",Datos!I16,Datos!I16+Datos!AC16)),IF(D_I="SI",Datos!I16,Datos!I16+Datos!AC16)," - ")</f>
        <v>0</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0</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102</v>
      </c>
      <c r="D17" s="225">
        <f>IF(ISNUMBER(IF(D_I="SI",Datos!I17,Datos!I17+Datos!AC17)),IF(D_I="SI",Datos!I17,Datos!I17+Datos!AC17)," - ")</f>
        <v>101</v>
      </c>
      <c r="E17" s="226">
        <f>IF(ISNUMBER(IF(D_I="SI",Datos!J17,Datos!J17+Datos!AD17)),IF(D_I="SI",Datos!J17,Datos!J17+Datos!AD17)," - ")</f>
        <v>201</v>
      </c>
      <c r="F17" s="226">
        <f>IF(ISNUMBER(IF(D_I="SI",Datos!K17,Datos!K17+Datos!AE17)),IF(D_I="SI",Datos!K17,Datos!K17+Datos!AE17)," - ")</f>
        <v>212</v>
      </c>
      <c r="G17" s="1034" t="str">
        <f>IF(Datos!E17&lt;&gt;"",Datos!E17,Datos!D17)</f>
        <v>37</v>
      </c>
      <c r="H17" s="227">
        <f>IF(ISNUMBER(IF(D_I="SI",Datos!L17,Datos!L17+Datos!AF17)),IF(D_I="SI",Datos!L17,Datos!L17+Datos!AF17)," - ")</f>
        <v>91</v>
      </c>
      <c r="I17" s="1044" t="str">
        <f>IF(ISNUMBER(Datos!AS17/Datos!BM17),Datos!AS17/Datos!BM17," - ")</f>
        <v xml:space="preserve"> - </v>
      </c>
      <c r="J17" s="1045" t="str">
        <f>IF(ISNUMBER((Datos!BY17+Datos!BZ17)/Datos!CN17),(Datos!BY17+Datos!BZ17)/Datos!CN17," - ")</f>
        <v xml:space="preserve"> - </v>
      </c>
      <c r="K17" s="230">
        <f t="shared" si="3"/>
        <v>-0.10784313725490197</v>
      </c>
      <c r="L17" s="1025">
        <f>IF(ISNUMBER(NºAsuntos!I17/NºAsuntos!G17),(NºAsuntos!I17/NºAsuntos!G17)*11," - ")</f>
        <v>4.7216981132075473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2053</v>
      </c>
      <c r="D18" s="1049">
        <f>SUBTOTAL(9,D15:D17)</f>
        <v>1991</v>
      </c>
      <c r="E18" s="1050">
        <f>SUBTOTAL(9,E15:E17)</f>
        <v>4334</v>
      </c>
      <c r="F18" s="1050">
        <f>SUBTOTAL(9,F15:F17)</f>
        <v>4153</v>
      </c>
      <c r="G18" s="1052" t="str">
        <f ca="1">INDIRECT(CONCATENATE("G",ROW()-1))</f>
        <v>37</v>
      </c>
      <c r="H18" s="1053">
        <f ca="1">SUMIF(G$14:G17,G18,H$14:H17)</f>
        <v>91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2075</v>
      </c>
      <c r="D19" s="1071">
        <f>SUBTOTAL(9,D9:D18)</f>
        <v>2013</v>
      </c>
      <c r="E19" s="1072">
        <f>SUBTOTAL(9,E9:E18)</f>
        <v>4358</v>
      </c>
      <c r="F19" s="1072">
        <f>SUBTOTAL(9,F9:F18)</f>
        <v>4184</v>
      </c>
      <c r="G19" s="1073"/>
      <c r="H19" s="1074">
        <f ca="1">SUMIF(B9:B18,"TOTAL",H9:H18)</f>
        <v>91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emcplr8+PSF+T3jjie/9kOJEXnxq5nFJB8b9A68wCzirBP8o7YX6HXwUGdwu+4OtYlvSbdb98CBFZDz1zWHONw==" saltValue="xRKLU5M2g5M7GrEsVbWt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8PMuhkqEl7fc00QEKXC199MEooq7Lg4VkCF4uZW8VHYDkRSOgy/tJVgenP6b9VG85JijJ34dmO5S287NbHYGw==" saltValue="OLDWDGqzZbyJgLHiRGTFy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5950</v>
      </c>
      <c r="J9" s="181">
        <v>3569</v>
      </c>
      <c r="K9" s="181">
        <v>3339</v>
      </c>
      <c r="L9" s="181">
        <v>6180</v>
      </c>
      <c r="M9" s="181">
        <v>846</v>
      </c>
      <c r="N9" s="181">
        <v>2044</v>
      </c>
      <c r="O9" s="181">
        <v>804</v>
      </c>
      <c r="P9" s="181">
        <v>630</v>
      </c>
      <c r="Q9" s="181">
        <v>327</v>
      </c>
      <c r="R9" s="181">
        <v>7317</v>
      </c>
      <c r="S9" s="181">
        <v>6172</v>
      </c>
      <c r="T9" s="181">
        <v>2658</v>
      </c>
      <c r="U9" s="181">
        <v>2773</v>
      </c>
      <c r="V9" s="181">
        <v>6057</v>
      </c>
      <c r="W9" s="181">
        <v>506</v>
      </c>
      <c r="X9" s="188">
        <v>1890</v>
      </c>
      <c r="Y9" s="191">
        <v>181</v>
      </c>
      <c r="Z9" s="181">
        <v>123</v>
      </c>
      <c r="AA9" s="181">
        <v>99</v>
      </c>
      <c r="AB9" s="181">
        <v>205</v>
      </c>
      <c r="AC9" s="181">
        <v>0</v>
      </c>
      <c r="AD9" s="181">
        <v>0</v>
      </c>
      <c r="AE9" s="181">
        <v>0</v>
      </c>
      <c r="AF9" s="188">
        <v>0</v>
      </c>
      <c r="AG9" s="191">
        <v>174</v>
      </c>
      <c r="AH9" s="181">
        <v>152</v>
      </c>
      <c r="AI9" s="181">
        <v>130</v>
      </c>
      <c r="AJ9" s="192">
        <v>196</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6346</v>
      </c>
      <c r="AZ9" s="123">
        <f>IF(ISNUMBER(IF(J_V="SI",T9,T9+AH9)),IF(J_V="SI",T9,T9+AH9)," - ")</f>
        <v>2810</v>
      </c>
      <c r="BA9" s="124">
        <f>IF(ISNUMBER(IF(J_V="SI",U9,U9+AI9)),IF(J_V="SI",U9,U9+AI9)," - ")</f>
        <v>2903</v>
      </c>
      <c r="BB9" s="124">
        <f>IF(ISNUMBER(IF(J_V="SI",V9,V9+AJ9)),IF(J_V="SI",V9,V9+AJ9)," - ")</f>
        <v>6253</v>
      </c>
      <c r="BC9" s="125">
        <f>IF(ISNUMBER(X9),X9," - ")</f>
        <v>1890</v>
      </c>
      <c r="BD9" s="126">
        <f>IF(ISNUMBER(BA9/AZ9),BA9/AZ9," - ")</f>
        <v>1.0330960854092526</v>
      </c>
      <c r="BE9" s="127">
        <f>IF(ISNUMBER(BB9/BA9),BB9/BA9, " - ")</f>
        <v>2.1539786427833274</v>
      </c>
      <c r="BF9" s="127">
        <f>IF(ISNUMBER(BC9/BA9),BC9/BA9, " - ")</f>
        <v>0.6510506372717878</v>
      </c>
      <c r="BG9" s="196">
        <f>IF(ISNUMBER((AY9+AZ9)/BA9),(AY9+AZ9)/BA9," - ")</f>
        <v>3.1539786427833274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24</v>
      </c>
      <c r="K10" s="181">
        <v>31</v>
      </c>
      <c r="L10" s="181">
        <v>15</v>
      </c>
      <c r="M10" s="181">
        <v>16</v>
      </c>
      <c r="N10" s="181">
        <v>8</v>
      </c>
      <c r="O10" s="181">
        <v>0</v>
      </c>
      <c r="P10" s="181">
        <v>0</v>
      </c>
      <c r="Q10" s="181">
        <v>2</v>
      </c>
      <c r="R10" s="181">
        <v>32</v>
      </c>
      <c r="S10" s="181">
        <v>13</v>
      </c>
      <c r="T10" s="181">
        <v>27</v>
      </c>
      <c r="U10" s="181">
        <v>26</v>
      </c>
      <c r="V10" s="181">
        <v>14</v>
      </c>
      <c r="W10" s="181">
        <v>13</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785</v>
      </c>
      <c r="AT10" s="192"/>
      <c r="AU10" s="200"/>
      <c r="AV10" s="192"/>
      <c r="AW10" s="200"/>
      <c r="AX10" s="192"/>
      <c r="AY10" s="128">
        <f t="shared" ref="AY10:BC10" si="0">IF(ISNUMBER(S10),S10," - ")</f>
        <v>13</v>
      </c>
      <c r="AZ10" s="129">
        <f t="shared" si="0"/>
        <v>27</v>
      </c>
      <c r="BA10" s="129">
        <f t="shared" si="0"/>
        <v>26</v>
      </c>
      <c r="BB10" s="129">
        <f t="shared" si="0"/>
        <v>14</v>
      </c>
      <c r="BC10" s="125">
        <f t="shared" si="0"/>
        <v>13</v>
      </c>
      <c r="BD10" s="126">
        <f>IF(ISNUMBER(BA10/AZ10),BA10/AZ10," - ")</f>
        <v>0.96296296296296291</v>
      </c>
      <c r="BE10" s="127">
        <f>IF(ISNUMBER(BB10/BA10),BB10/BA10, " - ")</f>
        <v>0.53846153846153844</v>
      </c>
      <c r="BF10" s="127">
        <f>IF(ISNUMBER(BC10/BA10),BC10/BA10, " - ")</f>
        <v>0.5</v>
      </c>
      <c r="BG10" s="196">
        <f>IF(ISNUMBER((AY10+AZ10)/BA10),(AY10+AZ10)/BA10," - ")</f>
        <v>1.5384615384615385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0</v>
      </c>
      <c r="J12" s="183">
        <v>1</v>
      </c>
      <c r="K12" s="183">
        <v>1</v>
      </c>
      <c r="L12" s="183">
        <v>0</v>
      </c>
      <c r="M12" s="183">
        <v>0</v>
      </c>
      <c r="N12" s="183">
        <v>1</v>
      </c>
      <c r="O12" s="181">
        <v>78</v>
      </c>
      <c r="P12" s="183">
        <v>16</v>
      </c>
      <c r="Q12" s="183">
        <v>79</v>
      </c>
      <c r="R12" s="183">
        <v>245</v>
      </c>
      <c r="S12" s="183">
        <v>1</v>
      </c>
      <c r="T12" s="183">
        <v>0</v>
      </c>
      <c r="U12" s="183">
        <v>1</v>
      </c>
      <c r="V12" s="183">
        <v>0</v>
      </c>
      <c r="W12" s="183">
        <v>0</v>
      </c>
      <c r="X12" s="189">
        <v>4</v>
      </c>
      <c r="Y12" s="191">
        <v>0</v>
      </c>
      <c r="Z12" s="181">
        <v>0</v>
      </c>
      <c r="AA12" s="181">
        <v>0</v>
      </c>
      <c r="AB12" s="181">
        <v>0</v>
      </c>
      <c r="AC12" s="183">
        <v>0</v>
      </c>
      <c r="AD12" s="183">
        <v>0</v>
      </c>
      <c r="AE12" s="183">
        <v>0</v>
      </c>
      <c r="AF12" s="189">
        <v>0</v>
      </c>
      <c r="AG12" s="202">
        <v>0</v>
      </c>
      <c r="AH12" s="183">
        <v>3</v>
      </c>
      <c r="AI12" s="183">
        <v>3</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1</v>
      </c>
      <c r="AZ12" s="127">
        <f t="shared" si="1"/>
        <v>3</v>
      </c>
      <c r="BA12" s="127">
        <f t="shared" si="1"/>
        <v>4</v>
      </c>
      <c r="BB12" s="127">
        <f t="shared" si="1"/>
        <v>0</v>
      </c>
      <c r="BC12" s="125">
        <f>IF(ISNUMBER(X12),X12," - ")</f>
        <v>4</v>
      </c>
      <c r="BD12" s="126">
        <f t="shared" si="2"/>
        <v>1.3333333333333333</v>
      </c>
      <c r="BE12" s="127">
        <f t="shared" si="3"/>
        <v>0</v>
      </c>
      <c r="BF12" s="127">
        <f t="shared" si="4"/>
        <v>1</v>
      </c>
      <c r="BG12" s="196">
        <f t="shared" si="5"/>
        <v>1</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5972</v>
      </c>
      <c r="J13" s="184">
        <f t="shared" si="6"/>
        <v>3594</v>
      </c>
      <c r="K13" s="184">
        <f t="shared" si="6"/>
        <v>3371</v>
      </c>
      <c r="L13" s="184">
        <f t="shared" si="6"/>
        <v>6195</v>
      </c>
      <c r="M13" s="184">
        <f t="shared" si="6"/>
        <v>862</v>
      </c>
      <c r="N13" s="184">
        <f t="shared" si="6"/>
        <v>2053</v>
      </c>
      <c r="O13" s="184">
        <f t="shared" si="6"/>
        <v>882</v>
      </c>
      <c r="P13" s="184">
        <f t="shared" si="6"/>
        <v>646</v>
      </c>
      <c r="Q13" s="184">
        <f t="shared" si="6"/>
        <v>408</v>
      </c>
      <c r="R13" s="184">
        <f t="shared" si="6"/>
        <v>7594</v>
      </c>
      <c r="S13" s="184">
        <f t="shared" si="6"/>
        <v>6186</v>
      </c>
      <c r="T13" s="184">
        <f t="shared" si="6"/>
        <v>2685</v>
      </c>
      <c r="U13" s="184">
        <f t="shared" si="6"/>
        <v>2800</v>
      </c>
      <c r="V13" s="184">
        <f t="shared" si="6"/>
        <v>6071</v>
      </c>
      <c r="W13" s="184">
        <f t="shared" si="6"/>
        <v>519</v>
      </c>
      <c r="X13" s="184">
        <f t="shared" si="6"/>
        <v>1906</v>
      </c>
      <c r="Y13" s="184">
        <f t="shared" si="6"/>
        <v>181</v>
      </c>
      <c r="Z13" s="184">
        <f t="shared" si="6"/>
        <v>123</v>
      </c>
      <c r="AA13" s="184">
        <f t="shared" si="6"/>
        <v>99</v>
      </c>
      <c r="AB13" s="184">
        <f t="shared" si="6"/>
        <v>205</v>
      </c>
      <c r="AC13" s="184">
        <f t="shared" si="6"/>
        <v>0</v>
      </c>
      <c r="AD13" s="184">
        <f t="shared" si="6"/>
        <v>0</v>
      </c>
      <c r="AE13" s="184">
        <f t="shared" si="6"/>
        <v>0</v>
      </c>
      <c r="AF13" s="184">
        <f>SUBTOTAL(9,AF9:AF12)</f>
        <v>0</v>
      </c>
      <c r="AG13" s="184">
        <f t="shared" ref="AG13:AT13" si="7">SUBTOTAL(9,AG8:AG12)</f>
        <v>174</v>
      </c>
      <c r="AH13" s="184">
        <f t="shared" si="7"/>
        <v>155</v>
      </c>
      <c r="AI13" s="184">
        <f t="shared" si="7"/>
        <v>133</v>
      </c>
      <c r="AJ13" s="184">
        <f t="shared" si="7"/>
        <v>196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6360</v>
      </c>
      <c r="AZ13" s="184">
        <f>SUBTOTAL(9,AZ8:AZ12)</f>
        <v>2840</v>
      </c>
      <c r="BA13" s="184">
        <f>SUBTOTAL(9,BA8:BA12)</f>
        <v>2933</v>
      </c>
      <c r="BB13" s="184">
        <f>SUBTOTAL(9,BB8:BB12)</f>
        <v>6267</v>
      </c>
      <c r="BC13" s="184">
        <f>SUBTOTAL(9,BC8:BC12)</f>
        <v>1907</v>
      </c>
      <c r="BD13" s="205">
        <f>IF(ISNUMBER(BA13/AZ13),BA13/AZ13," - ")</f>
        <v>1.0327464788732394</v>
      </c>
      <c r="BE13" s="206">
        <f>IF(ISNUMBER(BB13/BA13),BB13/BA13, " - ")</f>
        <v>2.1367200818274803</v>
      </c>
      <c r="BF13" s="206">
        <f>IF(ISNUMBER(BC13/BA13),BC13/BA13, " - ")</f>
        <v>0.65018752130923974</v>
      </c>
      <c r="BG13" s="207">
        <f>IF(ISNUMBER((AY13+AZ13)/BA13),(AY13+AZ13)/BA13," - ")</f>
        <v>3.1367200818274803</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1890</v>
      </c>
      <c r="J15" s="183">
        <v>4133</v>
      </c>
      <c r="K15" s="183">
        <v>3941</v>
      </c>
      <c r="L15" s="183">
        <v>2143</v>
      </c>
      <c r="M15" s="183">
        <v>510</v>
      </c>
      <c r="N15" s="183">
        <v>2725</v>
      </c>
      <c r="O15" s="181">
        <v>89</v>
      </c>
      <c r="P15" s="183">
        <v>111</v>
      </c>
      <c r="Q15" s="183">
        <v>119</v>
      </c>
      <c r="R15" s="183">
        <v>345</v>
      </c>
      <c r="S15" s="183">
        <v>1691</v>
      </c>
      <c r="T15" s="183">
        <v>3336</v>
      </c>
      <c r="U15" s="183">
        <v>3376</v>
      </c>
      <c r="V15" s="183">
        <v>1679</v>
      </c>
      <c r="W15" s="183">
        <v>335</v>
      </c>
      <c r="X15" s="189">
        <v>2384</v>
      </c>
      <c r="Y15" s="202">
        <v>0</v>
      </c>
      <c r="Z15" s="183">
        <v>0</v>
      </c>
      <c r="AA15" s="183">
        <v>0</v>
      </c>
      <c r="AB15" s="183">
        <v>0</v>
      </c>
      <c r="AC15" s="183">
        <v>0</v>
      </c>
      <c r="AD15" s="183">
        <v>37</v>
      </c>
      <c r="AE15" s="183">
        <v>37</v>
      </c>
      <c r="AF15" s="189">
        <v>0</v>
      </c>
      <c r="AG15" s="202">
        <v>0</v>
      </c>
      <c r="AH15" s="183">
        <v>0</v>
      </c>
      <c r="AI15" s="183">
        <v>0</v>
      </c>
      <c r="AJ15" s="203">
        <v>0</v>
      </c>
      <c r="AK15" s="182">
        <v>0</v>
      </c>
      <c r="AL15" s="183">
        <v>126</v>
      </c>
      <c r="AM15" s="183">
        <v>126</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1691</v>
      </c>
      <c r="AZ15" s="129">
        <f t="shared" si="9"/>
        <v>3336</v>
      </c>
      <c r="BA15" s="129">
        <f t="shared" si="9"/>
        <v>3376</v>
      </c>
      <c r="BB15" s="129">
        <f t="shared" si="9"/>
        <v>1679</v>
      </c>
      <c r="BC15" s="125">
        <f>IF(ISNUMBER(W15),W15," - ")</f>
        <v>335</v>
      </c>
      <c r="BD15" s="126">
        <f>IF(ISNUMBER(BA15/AZ15),BA15/AZ15," - ")</f>
        <v>1.0119904076738608</v>
      </c>
      <c r="BE15" s="127">
        <f>IF(ISNUMBER(BB15/BA15),BB15/BA15, " - ")</f>
        <v>0.49733412322274884</v>
      </c>
      <c r="BF15" s="127">
        <f>IF(ISNUMBER(BC15/BA15),BC15/BA15, " - ")</f>
        <v>9.9229857819905218E-2</v>
      </c>
      <c r="BG15" s="196">
        <f t="shared" ref="BG15:BG16" si="10">IF(ISNUMBER((AY15+AZ15)/BA15),(AY15+AZ15)/BA15," - ")</f>
        <v>1.4890402843601895</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0</v>
      </c>
      <c r="J16" s="183">
        <v>0</v>
      </c>
      <c r="K16" s="183">
        <v>0</v>
      </c>
      <c r="L16" s="183">
        <v>0</v>
      </c>
      <c r="M16" s="183">
        <v>0</v>
      </c>
      <c r="N16" s="183">
        <v>0</v>
      </c>
      <c r="O16" s="181">
        <v>0</v>
      </c>
      <c r="P16" s="183">
        <v>0</v>
      </c>
      <c r="Q16" s="183">
        <v>0</v>
      </c>
      <c r="R16" s="183">
        <v>1</v>
      </c>
      <c r="S16" s="183">
        <v>1</v>
      </c>
      <c r="T16" s="183">
        <v>0</v>
      </c>
      <c r="U16" s="183">
        <v>0</v>
      </c>
      <c r="V16" s="183">
        <v>1</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1</v>
      </c>
      <c r="AZ16" s="127">
        <f t="shared" si="9"/>
        <v>0</v>
      </c>
      <c r="BA16" s="127">
        <f t="shared" si="9"/>
        <v>0</v>
      </c>
      <c r="BB16" s="127">
        <f t="shared" si="9"/>
        <v>1</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101</v>
      </c>
      <c r="J17" s="183">
        <v>201</v>
      </c>
      <c r="K17" s="183">
        <v>212</v>
      </c>
      <c r="L17" s="183">
        <v>91</v>
      </c>
      <c r="M17" s="183">
        <v>80</v>
      </c>
      <c r="N17" s="183">
        <v>65</v>
      </c>
      <c r="O17" s="183">
        <v>19</v>
      </c>
      <c r="P17" s="183">
        <v>20</v>
      </c>
      <c r="Q17" s="183">
        <v>19</v>
      </c>
      <c r="R17" s="183">
        <v>31</v>
      </c>
      <c r="S17" s="183">
        <v>100</v>
      </c>
      <c r="T17" s="183">
        <v>135</v>
      </c>
      <c r="U17" s="183">
        <v>150</v>
      </c>
      <c r="V17" s="183">
        <v>89</v>
      </c>
      <c r="W17" s="183">
        <v>48</v>
      </c>
      <c r="X17" s="189">
        <v>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784</v>
      </c>
      <c r="AT17" s="209"/>
      <c r="AU17" s="200"/>
      <c r="AV17" s="209"/>
      <c r="AW17" s="200"/>
      <c r="AX17" s="209"/>
      <c r="AY17" s="128">
        <f t="shared" ref="AY17:BB17" si="14">IF(ISNUMBER(S17),S17," - ")</f>
        <v>100</v>
      </c>
      <c r="AZ17" s="129">
        <f t="shared" si="14"/>
        <v>135</v>
      </c>
      <c r="BA17" s="129">
        <f t="shared" si="14"/>
        <v>150</v>
      </c>
      <c r="BB17" s="129">
        <f t="shared" si="14"/>
        <v>89</v>
      </c>
      <c r="BC17" s="125">
        <f>IF(ISNUMBER(W17),W17," - ")</f>
        <v>48</v>
      </c>
      <c r="BD17" s="126">
        <f>IF(ISNUMBER(BA17/AZ17),BA17/AZ17," - ")</f>
        <v>1.1111111111111112</v>
      </c>
      <c r="BE17" s="127">
        <f>IF(ISNUMBER(BB17/BA17),BB17/BA17, " - ")</f>
        <v>0.59333333333333338</v>
      </c>
      <c r="BF17" s="127">
        <f>IF(ISNUMBER(BC17/BA17),BC17/BA17, " - ")</f>
        <v>0.32</v>
      </c>
      <c r="BG17" s="196">
        <f>IF(ISNUMBER((AY17+AZ17)/BA17),(AY17+AZ17)/BA17," - ")</f>
        <v>1.5666666666666667</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1991</v>
      </c>
      <c r="J18" s="184">
        <f t="shared" si="15"/>
        <v>4334</v>
      </c>
      <c r="K18" s="184">
        <f t="shared" si="15"/>
        <v>4153</v>
      </c>
      <c r="L18" s="184">
        <f t="shared" si="15"/>
        <v>2234</v>
      </c>
      <c r="M18" s="184">
        <f t="shared" si="15"/>
        <v>590</v>
      </c>
      <c r="N18" s="184">
        <f t="shared" si="15"/>
        <v>2790</v>
      </c>
      <c r="O18" s="184">
        <f t="shared" si="15"/>
        <v>108</v>
      </c>
      <c r="P18" s="184">
        <f t="shared" si="15"/>
        <v>131</v>
      </c>
      <c r="Q18" s="184">
        <f t="shared" si="15"/>
        <v>138</v>
      </c>
      <c r="R18" s="184">
        <f t="shared" si="15"/>
        <v>377</v>
      </c>
      <c r="S18" s="184">
        <f t="shared" si="15"/>
        <v>1792</v>
      </c>
      <c r="T18" s="184">
        <f t="shared" si="15"/>
        <v>3471</v>
      </c>
      <c r="U18" s="184">
        <f t="shared" si="15"/>
        <v>3526</v>
      </c>
      <c r="V18" s="184">
        <f t="shared" si="15"/>
        <v>1769</v>
      </c>
      <c r="W18" s="184">
        <f t="shared" si="15"/>
        <v>383</v>
      </c>
      <c r="X18" s="184">
        <f t="shared" si="15"/>
        <v>2448</v>
      </c>
      <c r="Y18" s="184">
        <f t="shared" si="15"/>
        <v>0</v>
      </c>
      <c r="Z18" s="184">
        <f t="shared" si="15"/>
        <v>0</v>
      </c>
      <c r="AA18" s="184">
        <f t="shared" si="15"/>
        <v>0</v>
      </c>
      <c r="AB18" s="184">
        <f t="shared" si="15"/>
        <v>0</v>
      </c>
      <c r="AC18" s="184">
        <f t="shared" si="15"/>
        <v>0</v>
      </c>
      <c r="AD18" s="184">
        <f t="shared" si="15"/>
        <v>37</v>
      </c>
      <c r="AE18" s="184">
        <f t="shared" si="15"/>
        <v>37</v>
      </c>
      <c r="AF18" s="184">
        <f t="shared" si="15"/>
        <v>0</v>
      </c>
      <c r="AG18" s="184">
        <f t="shared" si="15"/>
        <v>0</v>
      </c>
      <c r="AH18" s="184">
        <f t="shared" si="15"/>
        <v>0</v>
      </c>
      <c r="AI18" s="184">
        <f t="shared" si="15"/>
        <v>0</v>
      </c>
      <c r="AJ18" s="184">
        <f t="shared" si="15"/>
        <v>0</v>
      </c>
      <c r="AK18" s="184">
        <f t="shared" si="15"/>
        <v>0</v>
      </c>
      <c r="AL18" s="184">
        <f t="shared" si="15"/>
        <v>126</v>
      </c>
      <c r="AM18" s="184">
        <f t="shared" si="15"/>
        <v>126</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1792</v>
      </c>
      <c r="AZ18" s="184">
        <f>SUBTOTAL(9,AZ14:AZ17)</f>
        <v>3471</v>
      </c>
      <c r="BA18" s="184">
        <f>SUBTOTAL(9,BA14:BA17)</f>
        <v>3526</v>
      </c>
      <c r="BB18" s="184">
        <f>SUBTOTAL(9,BB14:BB17)</f>
        <v>1769</v>
      </c>
      <c r="BC18" s="184">
        <f>SUBTOTAL(9,BC14:BC17)</f>
        <v>383</v>
      </c>
      <c r="BD18" s="205">
        <f>IF(ISNUMBER(BA18/AZ18),BA18/AZ18," - ")</f>
        <v>1.0158455776433304</v>
      </c>
      <c r="BE18" s="206">
        <f>IF(ISNUMBER(BB18/BA18),BB18/BA18, " - ")</f>
        <v>0.50170164492342595</v>
      </c>
      <c r="BF18" s="206">
        <f>IF(ISNUMBER(BC18/BA18),BC18/BA18, " - ")</f>
        <v>0.10862166761202496</v>
      </c>
      <c r="BG18" s="207">
        <f>IF(ISNUMBER((AY18+AZ18)/BA18),(AY18+AZ18)/BA18," - ")</f>
        <v>1.4926262053318207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7963</v>
      </c>
      <c r="J19" s="134">
        <f t="shared" si="18"/>
        <v>7928</v>
      </c>
      <c r="K19" s="134">
        <f t="shared" si="18"/>
        <v>7524</v>
      </c>
      <c r="L19" s="134">
        <f t="shared" si="18"/>
        <v>8429</v>
      </c>
      <c r="M19" s="134">
        <f t="shared" si="18"/>
        <v>1452</v>
      </c>
      <c r="N19" s="134">
        <f t="shared" si="18"/>
        <v>4843</v>
      </c>
      <c r="O19" s="134">
        <f t="shared" si="18"/>
        <v>990</v>
      </c>
      <c r="P19" s="134">
        <f t="shared" si="18"/>
        <v>777</v>
      </c>
      <c r="Q19" s="134">
        <f t="shared" si="18"/>
        <v>546</v>
      </c>
      <c r="R19" s="134">
        <f t="shared" si="18"/>
        <v>7971</v>
      </c>
      <c r="S19" s="134">
        <f t="shared" si="18"/>
        <v>7978</v>
      </c>
      <c r="T19" s="134">
        <f t="shared" si="18"/>
        <v>6156</v>
      </c>
      <c r="U19" s="134">
        <f t="shared" si="18"/>
        <v>6326</v>
      </c>
      <c r="V19" s="134">
        <f t="shared" si="18"/>
        <v>7840</v>
      </c>
      <c r="W19" s="134">
        <f t="shared" si="18"/>
        <v>902</v>
      </c>
      <c r="X19" s="134">
        <f t="shared" si="18"/>
        <v>4354</v>
      </c>
      <c r="Y19" s="134">
        <f t="shared" si="18"/>
        <v>181</v>
      </c>
      <c r="Z19" s="134">
        <f t="shared" si="18"/>
        <v>123</v>
      </c>
      <c r="AA19" s="134">
        <f t="shared" si="18"/>
        <v>99</v>
      </c>
      <c r="AB19" s="134">
        <f t="shared" si="18"/>
        <v>205</v>
      </c>
      <c r="AC19" s="134">
        <f t="shared" si="18"/>
        <v>0</v>
      </c>
      <c r="AD19" s="134">
        <f t="shared" si="18"/>
        <v>37</v>
      </c>
      <c r="AE19" s="134">
        <f t="shared" si="18"/>
        <v>37</v>
      </c>
      <c r="AF19" s="134">
        <f t="shared" si="18"/>
        <v>0</v>
      </c>
      <c r="AG19" s="134">
        <f t="shared" si="18"/>
        <v>174</v>
      </c>
      <c r="AH19" s="134">
        <f t="shared" si="18"/>
        <v>155</v>
      </c>
      <c r="AI19" s="134">
        <f t="shared" si="18"/>
        <v>133</v>
      </c>
      <c r="AJ19" s="134">
        <f t="shared" si="18"/>
        <v>196</v>
      </c>
      <c r="AK19" s="134">
        <f t="shared" si="18"/>
        <v>0</v>
      </c>
      <c r="AL19" s="134">
        <f t="shared" si="18"/>
        <v>126</v>
      </c>
      <c r="AM19" s="134">
        <f t="shared" si="18"/>
        <v>126</v>
      </c>
      <c r="AN19" s="210">
        <f t="shared" si="18"/>
        <v>0</v>
      </c>
      <c r="AO19" s="211">
        <v>10</v>
      </c>
      <c r="AP19" s="211">
        <v>9</v>
      </c>
      <c r="AQ19" s="211">
        <v>9</v>
      </c>
      <c r="AR19" s="211">
        <v>9</v>
      </c>
      <c r="AS19" s="153">
        <f t="shared" si="18"/>
        <v>0</v>
      </c>
      <c r="AT19" s="153">
        <f t="shared" si="18"/>
        <v>0</v>
      </c>
      <c r="AU19" s="211"/>
      <c r="AV19" s="212"/>
      <c r="AW19" s="211"/>
      <c r="AX19" s="212"/>
      <c r="AY19" s="133">
        <f>SUBTOTAL(9,AY9:AY18)</f>
        <v>8152</v>
      </c>
      <c r="AZ19" s="134">
        <f>SUBTOTAL(9,AZ9:AZ18)</f>
        <v>6311</v>
      </c>
      <c r="BA19" s="134">
        <f>SUBTOTAL(9,BA9:BA18)</f>
        <v>6459</v>
      </c>
      <c r="BB19" s="134">
        <f>SUBTOTAL(9,BB9:BB18)</f>
        <v>8036</v>
      </c>
      <c r="BC19" s="135">
        <f>SUBTOTAL(9,BC9:BC18)</f>
        <v>2290</v>
      </c>
      <c r="BD19" s="213">
        <f>IF(ISNUMBER(BA19/AZ19),BA19/AZ19," - ")</f>
        <v>1.0234511170971321</v>
      </c>
      <c r="BE19" s="210">
        <f>IF(ISNUMBER(BB19/BA19),BB19/BA19, " - ")</f>
        <v>1.2441554420188883</v>
      </c>
      <c r="BF19" s="210">
        <f>IF(ISNUMBER(BC19/BA19),BC19/BA19, " - ")</f>
        <v>0.35454404706610931</v>
      </c>
      <c r="BG19" s="135">
        <f>IF(ISNUMBER((AY19+AZ19)/BA19),(AY19+AZ19)/BA19," - ")</f>
        <v>2.2392011147236413</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GcAanp5XxjYPrdE0Z7ICECbKhTD7D5h70nx11A7e2uoZxgQG+fLb/DzG8fqgHlJlYl6YG1hPZYtc5D8Zf+6wA==" saltValue="s/YQcaO1S6ZTmiTHfEYZ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hHXWH47UZDszUJu2f1uTAJS74HZEt/YnWI66wu/CK/e0/XS8RJ0rI+sH+naz+U791DMvoHXIKf6AW6VfpdDg==" saltValue="/l8N70PbgUWE7jF4Enb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ARRECIFE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123</v>
      </c>
      <c r="O9" s="334"/>
      <c r="P9" s="334"/>
      <c r="Q9" s="226">
        <f>IF(ISNUMBER(Datos!P9),Datos!P9,0)</f>
        <v>630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327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205</v>
      </c>
      <c r="AI9" s="334" t="str">
        <f>IF(ISNUMBER(Datos!CD9),Datos!CD9,"-")</f>
        <v>-</v>
      </c>
      <c r="AJ9" s="334" t="str">
        <f>IF(ISNUMBER(Datos!EN9),Datos!EN9," - ")</f>
        <v xml:space="preserve"> - </v>
      </c>
      <c r="AK9" s="334"/>
      <c r="AL9" s="479"/>
      <c r="AM9" s="335">
        <f>IF(ISNUMBER(Datos!R9),Datos!R9," - ")</f>
        <v>7317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846</v>
      </c>
      <c r="BD9" s="229">
        <f>IF(ISNUMBER(Datos!N9),Datos!N9," - ")</f>
        <v>2044</v>
      </c>
      <c r="BE9" s="229" t="str">
        <f>IF(ISNUMBER(Datos!BW9),Datos!BW9," - ")</f>
        <v xml:space="preserve"> - </v>
      </c>
      <c r="BF9" s="228" t="str">
        <f>IF(ISNUMBER(Datos!BX9),Datos!BX9," - ")</f>
        <v xml:space="preserve"> - </v>
      </c>
      <c r="BG9" s="243">
        <f>IF(ISNUMBER(IF(J_V="SI",Datos!K9/Datos!J9,(Datos!K9+Datos!AA9)/(Datos!J9+Datos!Z9))),IF(J_V="SI",Datos!K9/Datos!J9,(Datos!K9+Datos!AA9)/(Datos!J9+Datos!Z9))," - ")</f>
        <v>0.93120260021668477</v>
      </c>
      <c r="BH9" s="260">
        <f>IF(ISNUMBER(((IF(J_V="SI",Datos!L9/Datos!K9,(Datos!L9+Datos!AB9)/(Datos!K9+Datos!AA9)))*11)/factor_trimestre),((IF(J_V="SI",Datos!L9/Datos!K9,(Datos!L9+Datos!AB9)/(Datos!K9+Datos!AA9)))*11)/factor_trimestre," - ")</f>
        <v>5.5715532286212914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4.3199315654405476E-2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2</v>
      </c>
      <c r="AD10" s="334"/>
      <c r="AE10" s="484"/>
      <c r="AF10" s="332">
        <f>IF(ISNUMBER(Datos!L10),Datos!L10,"-")</f>
        <v>15</v>
      </c>
      <c r="AG10" s="334"/>
      <c r="AH10" s="334"/>
      <c r="AI10" s="334"/>
      <c r="AJ10" s="334"/>
      <c r="AK10" s="334"/>
      <c r="AL10" s="479"/>
      <c r="AM10" s="335">
        <f>IF(ISNUMBER(Datos!R10),Datos!R10," - ")</f>
        <v>32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8</v>
      </c>
      <c r="BE10" s="229" t="str">
        <f>IF(ISNUMBER(Datos!BW10),Datos!BW10," - ")</f>
        <v xml:space="preserve"> - </v>
      </c>
      <c r="BF10" s="228" t="str">
        <f>IF(ISNUMBER(Datos!BX10),Datos!BX10," - ")</f>
        <v xml:space="preserve"> - </v>
      </c>
      <c r="BG10" s="243">
        <f>IF(ISNUMBER(Datos!K10/Datos!J10),Datos!K10/Datos!J10," - ")</f>
        <v>1.2916666666666667</v>
      </c>
      <c r="BH10" s="260">
        <f>IF(ISNUMBER(((Datos!L10/Datos!K10)*11)/factor_trimestre),((Datos!L10/Datos!K10)*11)/factor_trimestre," - ")</f>
        <v>1.4516129032258065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-5.8823529411764705E-2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245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0</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-0.20454545454545456</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123</v>
      </c>
      <c r="O13" s="900">
        <f t="shared" si="0"/>
        <v>0</v>
      </c>
      <c r="P13" s="900">
        <f t="shared" si="0"/>
        <v>0</v>
      </c>
      <c r="Q13" s="899">
        <f t="shared" si="0"/>
        <v>646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408</v>
      </c>
      <c r="AD13" s="899">
        <f t="shared" si="1"/>
        <v>0</v>
      </c>
      <c r="AE13" s="899">
        <f t="shared" si="1"/>
        <v>0</v>
      </c>
      <c r="AF13" s="899">
        <f t="shared" si="1"/>
        <v>15</v>
      </c>
      <c r="AG13" s="899">
        <f t="shared" si="1"/>
        <v>0</v>
      </c>
      <c r="AH13" s="899">
        <f t="shared" si="1"/>
        <v>205</v>
      </c>
      <c r="AI13" s="899">
        <f t="shared" si="1"/>
        <v>0</v>
      </c>
      <c r="AJ13" s="899">
        <f t="shared" si="1"/>
        <v>0</v>
      </c>
      <c r="AK13" s="899">
        <f t="shared" si="1"/>
        <v>0</v>
      </c>
      <c r="AL13" s="899">
        <f t="shared" si="1"/>
        <v>0</v>
      </c>
      <c r="AM13" s="899">
        <f t="shared" si="1"/>
        <v>7594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862</v>
      </c>
      <c r="BD13" s="899">
        <f t="shared" si="1"/>
        <v>2053</v>
      </c>
      <c r="BE13" s="899">
        <f t="shared" si="1"/>
        <v>0</v>
      </c>
      <c r="BF13" s="899">
        <f t="shared" si="1"/>
        <v>0</v>
      </c>
      <c r="BG13" s="899">
        <f>IF(ISNUMBER(Datos!K13/Datos!J13),Datos!K13/Datos!J13," - ")</f>
        <v>0.93795214245965497</v>
      </c>
      <c r="BH13" s="903">
        <f>IF(ISNUMBER(((Datos!L13/Datos!K13)*11)/factor_trimestre),((Datos!L13/Datos!K13)*11)/factor_trimestre," - ")</f>
        <v>5.5132008306140614</v>
      </c>
      <c r="BI13" s="899">
        <f>IF(ISNUMBER('Resol  Asuntos'!D13/NºAsuntos!G13),'Resol  Asuntos'!D13/NºAsuntos!G13," - ")</f>
        <v>0.2484149855907781</v>
      </c>
      <c r="BJ13" s="899" t="str">
        <f>IF(ISNUMBER(Datos!CI13/Datos!CJ13),Datos!CI13/Datos!CJ13," - ")</f>
        <v xml:space="preserve"> - </v>
      </c>
      <c r="BK13" s="899">
        <f>SUBTOTAL(9,BK8:BK12)</f>
        <v>0</v>
      </c>
      <c r="BL13" s="899">
        <f>IF(ISNUMBER((I13-AB13+L13)/(F13)),(I13-AB13+L13)/(F13)," - ")</f>
        <v>-1.4090909090909092</v>
      </c>
      <c r="BM13" s="904">
        <f>SUBTOTAL(9,BM9:BM12)</f>
        <v>-0.22016966830281379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1951</v>
      </c>
      <c r="G15" s="598">
        <f>IF(ISNUMBER(IF(D_I="SI",Datos!I15,Datos!I15+Datos!AC15)),IF(D_I="SI",Datos!I15,Datos!I15+Datos!AC15)," - ")</f>
        <v>1890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3941</v>
      </c>
      <c r="AC15" s="226">
        <f>IF(ISNUMBER(Datos!Q15),Datos!Q15," - ")</f>
        <v>119</v>
      </c>
      <c r="AD15" s="334"/>
      <c r="AE15" s="484"/>
      <c r="AF15" s="596">
        <f>IF(ISNUMBER(IF(D_I="SI",Datos!L15,Datos!L15+Datos!AF15)),IF(D_I="SI",Datos!L15,Datos!L15+Datos!AF15)," - ")</f>
        <v>2143</v>
      </c>
      <c r="AG15" s="334"/>
      <c r="AH15" s="334"/>
      <c r="AI15" s="334"/>
      <c r="AJ15" s="334"/>
      <c r="AK15" s="334"/>
      <c r="AL15" s="479"/>
      <c r="AM15" s="335">
        <f>IF(ISNUMBER(Datos!R15),Datos!R15," - ")</f>
        <v>345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510</v>
      </c>
      <c r="BD15" s="229">
        <f>IF(ISNUMBER(Datos!N15),Datos!N15," - ")</f>
        <v>2725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0.95354464069683043</v>
      </c>
      <c r="BH15" s="260">
        <f>IF(ISNUMBER(((IF(D_I="SI",Datos!L15/Datos!K15,(Datos!L15+Datos!AF15)/(Datos!K15+Datos!AE15)))*11)/factor_trimestre),((IF(D_I="SI",Datos!L15/Datos!K15,(Datos!L15+Datos!AF15)/(Datos!K15+Datos!AE15)))*11)/factor_trimestre," - ")</f>
        <v>1.6313118497843186</v>
      </c>
      <c r="BI15" s="243">
        <f>IF(ISNUMBER('Resol  Asuntos'!D15/NºAsuntos!G15),'Resol  Asuntos'!D15/NºAsuntos!G15," - ")</f>
        <v>0.12940877949758944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0</v>
      </c>
      <c r="G16" s="598">
        <f>IF(ISNUMBER(IF(D_I="SI",Datos!I16,Datos!I16+Datos!AC16)),IF(D_I="SI",Datos!I16,Datos!I16+Datos!AC16)," - ")</f>
        <v>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0</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212</v>
      </c>
      <c r="AC17" s="226">
        <f>IF(ISNUMBER(Datos!Q17),Datos!Q17," - ")</f>
        <v>19</v>
      </c>
      <c r="AD17" s="334"/>
      <c r="AE17" s="484"/>
      <c r="AF17" s="332">
        <f>IF(ISNUMBER(Datos!L17),Datos!L17,"-")</f>
        <v>91</v>
      </c>
      <c r="AG17" s="334"/>
      <c r="AH17" s="334"/>
      <c r="AI17" s="334"/>
      <c r="AJ17" s="334"/>
      <c r="AK17" s="334"/>
      <c r="AL17" s="479"/>
      <c r="AM17" s="335">
        <f>IF(ISNUMBER(Datos!R17),Datos!R17," - ")</f>
        <v>31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80</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1.0547263681592041</v>
      </c>
      <c r="BH17" s="260">
        <f>IF(ISNUMBER(((IF(D_I="SI",Datos!L17/Datos!K17,(Datos!L17+Datos!AF17)/(Datos!K17+Datos!AE17)))*11)/factor_trimestre),((IF(D_I="SI",Datos!L17/Datos!K17,(Datos!L17+Datos!AF17)/(Datos!K17+Datos!AE17)))*11)/factor_trimestre," - ")</f>
        <v>1.2877358490566038</v>
      </c>
      <c r="BI17" s="243">
        <f>IF(ISNUMBER('Resol  Asuntos'!D17/NºAsuntos!G17),'Resol  Asuntos'!D17/NºAsuntos!G17," - ")</f>
        <v>0.37735849056603776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1951</v>
      </c>
      <c r="G18" s="898">
        <f>SUBTOTAL(9,G15:G17)</f>
        <v>1991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4153</v>
      </c>
      <c r="AC18" s="899">
        <f t="shared" si="4"/>
        <v>138</v>
      </c>
      <c r="AD18" s="899">
        <f t="shared" si="4"/>
        <v>0</v>
      </c>
      <c r="AE18" s="899">
        <f t="shared" si="4"/>
        <v>0</v>
      </c>
      <c r="AF18" s="899">
        <f t="shared" si="4"/>
        <v>2234</v>
      </c>
      <c r="AG18" s="899">
        <f t="shared" si="4"/>
        <v>0</v>
      </c>
      <c r="AH18" s="899">
        <f t="shared" si="4"/>
        <v>0</v>
      </c>
      <c r="AI18" s="899">
        <f t="shared" si="4"/>
        <v>0</v>
      </c>
      <c r="AJ18" s="899">
        <f t="shared" si="4"/>
        <v>0</v>
      </c>
      <c r="AK18" s="899">
        <f t="shared" si="4"/>
        <v>0</v>
      </c>
      <c r="AL18" s="899">
        <f t="shared" si="4"/>
        <v>0</v>
      </c>
      <c r="AM18" s="899">
        <f t="shared" si="4"/>
        <v>377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590</v>
      </c>
      <c r="BD18" s="899">
        <f t="shared" si="4"/>
        <v>2790</v>
      </c>
      <c r="BE18" s="899">
        <f t="shared" si="4"/>
        <v>0</v>
      </c>
      <c r="BF18" s="899">
        <f t="shared" si="4"/>
        <v>0</v>
      </c>
      <c r="BG18" s="899">
        <f>IF(ISNUMBER(Datos!K18/Datos!J18),Datos!K18/Datos!J18," - ")</f>
        <v>0.95823719427780341</v>
      </c>
      <c r="BH18" s="903">
        <f>IF(ISNUMBER(((Datos!L18/Datos!K18)*11)/factor_trimestre),((Datos!L18/Datos!K18)*11)/factor_trimestre," - ")</f>
        <v>1.6137731760173368</v>
      </c>
      <c r="BI18" s="899">
        <f>SUBTOTAL(9,BI15:BI17)</f>
        <v>0.50676727006362721</v>
      </c>
      <c r="BJ18" s="899">
        <f>SUBTOTAL(9,BJ15:BJ17)</f>
        <v>0</v>
      </c>
      <c r="BK18" s="899">
        <f>SUBTOTAL(9,BK15:BK17)</f>
        <v>0</v>
      </c>
      <c r="BL18" s="899">
        <f>IF(ISNUMBER((I18-AB18+L18)/(F18)),(I18-AB18+L18)/(F18)," - ")</f>
        <v>-2.1286519733470017</v>
      </c>
      <c r="BM18" s="905">
        <f>IF(ISNUMBER((Datos!P18-Datos!Q18)/(Datos!R18-Datos!P18+Datos!Q18)),(Datos!P18-Datos!Q18)/(Datos!R18-Datos!P18+Datos!Q18)," - ")</f>
        <v>-1.8229166666666668E-2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1973</v>
      </c>
      <c r="G19" s="820">
        <f t="shared" si="6"/>
        <v>2013</v>
      </c>
      <c r="H19" s="822">
        <f t="shared" si="6"/>
        <v>0</v>
      </c>
      <c r="I19" s="820">
        <f t="shared" si="6"/>
        <v>0</v>
      </c>
      <c r="J19" s="822">
        <f t="shared" si="6"/>
        <v>0</v>
      </c>
      <c r="K19" s="822">
        <f t="shared" si="6"/>
        <v>0</v>
      </c>
      <c r="L19" s="881">
        <f t="shared" si="6"/>
        <v>0</v>
      </c>
      <c r="M19" s="881">
        <f t="shared" si="6"/>
        <v>0</v>
      </c>
      <c r="N19" s="881">
        <f t="shared" si="6"/>
        <v>123</v>
      </c>
      <c r="O19" s="881">
        <f t="shared" si="6"/>
        <v>0</v>
      </c>
      <c r="P19" s="881">
        <f t="shared" si="6"/>
        <v>0</v>
      </c>
      <c r="Q19" s="822">
        <f t="shared" si="6"/>
        <v>777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4184</v>
      </c>
      <c r="AC19" s="821">
        <f t="shared" si="7"/>
        <v>546</v>
      </c>
      <c r="AD19" s="821">
        <f t="shared" si="7"/>
        <v>0</v>
      </c>
      <c r="AE19" s="821">
        <f t="shared" si="7"/>
        <v>0</v>
      </c>
      <c r="AF19" s="828">
        <f t="shared" si="7"/>
        <v>2249</v>
      </c>
      <c r="AG19" s="828">
        <f t="shared" si="7"/>
        <v>0</v>
      </c>
      <c r="AH19" s="828">
        <f t="shared" si="7"/>
        <v>205</v>
      </c>
      <c r="AI19" s="828">
        <f t="shared" si="7"/>
        <v>0</v>
      </c>
      <c r="AJ19" s="821">
        <f t="shared" si="7"/>
        <v>0</v>
      </c>
      <c r="AK19" s="828">
        <f t="shared" si="7"/>
        <v>0</v>
      </c>
      <c r="AL19" s="828">
        <f t="shared" si="7"/>
        <v>0</v>
      </c>
      <c r="AM19" s="828">
        <f t="shared" si="7"/>
        <v>7971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1452</v>
      </c>
      <c r="BD19" s="820">
        <f t="shared" si="7"/>
        <v>4843</v>
      </c>
      <c r="BE19" s="820">
        <f t="shared" si="7"/>
        <v>0</v>
      </c>
      <c r="BF19" s="830">
        <f t="shared" si="7"/>
        <v>0</v>
      </c>
      <c r="BG19" s="915">
        <f>IF(ISNUMBER(Datos!K19/Datos!J19),Datos!K19/Datos!J19," - ")</f>
        <v>0.94904137235116048</v>
      </c>
      <c r="BH19" s="915">
        <f>IF(ISNUMBER(((Datos!L19/Datos!K19)*11)/factor_trimestre),((Datos!L19/Datos!K19)*11)/factor_trimestre," - ")</f>
        <v>3.3608452950558214</v>
      </c>
      <c r="BI19" s="813">
        <f>IF(ISNUMBER(Datos!J19/Datos!I19),Datos!J19/Datos!I19," - ")</f>
        <v>0.9956046716061786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-2.1206284845413075</v>
      </c>
      <c r="BM19" s="889">
        <f>IF(ISNUMBER((Datos!P19-Datos!Q19+R19)/(Datos!R19-Datos!P19+Datos!Q19-R19)),(Datos!P19-Datos!Q19+R19)/(Datos!R19-Datos!P19+Datos!Q19-R19)," - ")</f>
        <v>2.9844961240310077E-2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671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2.3979157616563596</v>
      </c>
      <c r="F21" s="551">
        <f>IF(ISNUMBER(STDEV(F8:F18)),STDEV(F8:F18),"-")</f>
        <v>1060.6114745749264</v>
      </c>
      <c r="G21" s="552">
        <f>IF(ISNUMBER(STDEV(G8:G18)),STDEV(G8:G18),"-")</f>
        <v>984.46980654563504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2056.9484842034008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381.62509650927609</v>
      </c>
      <c r="BD21" s="551"/>
      <c r="BE21" s="551">
        <f>IF(ISNUMBER(STDEV(BE8:BE18)),STDEV(BE8:BE18),"-")</f>
        <v>0</v>
      </c>
      <c r="BF21" s="556">
        <f>IF(ISNUMBER(STDEV(BF8:BF18)),STDEV(BF8:BF18),"-")</f>
        <v>0</v>
      </c>
      <c r="BG21" s="775">
        <f>IF(ISNUMBER(STDEV(BG8:BG18)),STDEV(BG8:BG18),"-")</f>
        <v>0.12795412746142074</v>
      </c>
      <c r="BH21" s="776">
        <f>IF(ISNUMBER(STDEV(BH8:BH18)),STDEV(BH8:BH18),"-")</f>
        <v>2.1926400101306078</v>
      </c>
      <c r="BI21" s="249">
        <f>IF(ISNUMBER(STDEV(BI8:BI18)),STDEV(BI8:BI18),"-")</f>
        <v>0.16282913572428209</v>
      </c>
      <c r="BJ21" s="230" t="str">
        <f>IF(ISNUMBER(BL21/BM21),BL21/BM21," - ")</f>
        <v xml:space="preserve"> - </v>
      </c>
      <c r="BK21" s="575"/>
      <c r="BL21" s="559">
        <f>IF(ISNUMBER(STDEV(BL8:BL18)),STDEV(BL8:BL18),"-")</f>
        <v>0.50880650801329175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9mPbIwoHUi0RjTxFQVCvSbnSC/lC5XfdeS4VfkpVHJPJcO6eV38En+a2iLoq5PPNwmEmwzRRnFSd14D6nOA0w==" saltValue="Chz+w6i9BDrpYph5wAgoS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ARRECIFE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630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327</v>
      </c>
      <c r="AA9" s="332" t="str">
        <f>IF(ISNUMBER(IF(J_V="SI",Datos!L9,Datos!L9+Datos!AB9)-IF(Monitorios="SI",Datos!CD9,0)),
                          IF(J_V="SI",Datos!L9,Datos!L9+Datos!AB9)-IF(Monitorios="SI",Datos!CD9,0),
                          " - ")</f>
        <v xml:space="preserve"> - </v>
      </c>
      <c r="AB9" s="334"/>
      <c r="AC9" s="334"/>
      <c r="AD9" s="484"/>
      <c r="AE9" s="484">
        <f>IF(ISNUMBER(Datos!R9),Datos!R9," - ")</f>
        <v>7317</v>
      </c>
      <c r="AF9" s="229" t="str">
        <f>IF(ISNUMBER(Datos!BV9),Datos!BV9," - ")</f>
        <v xml:space="preserve"> - </v>
      </c>
      <c r="AG9" s="225" t="str">
        <f>IF(ISNUMBER(Datos!DV9),Datos!DV9," - ")</f>
        <v xml:space="preserve"> - </v>
      </c>
      <c r="AH9" s="298"/>
      <c r="AI9" s="227"/>
      <c r="AJ9" s="225">
        <f>IF(ISNUMBER(Datos!M9),Datos!M9," - ")</f>
        <v>846</v>
      </c>
      <c r="AK9" s="229">
        <f>IF(ISNUMBER(Datos!N9),Datos!N9," - ")</f>
        <v>2044</v>
      </c>
      <c r="AL9" s="229" t="str">
        <f>IF(ISNUMBER(Datos!BW9),Datos!BW9," - ")</f>
        <v xml:space="preserve"> - </v>
      </c>
      <c r="AM9" s="228" t="str">
        <f>IF(ISNUMBER(Datos!BX9),Datos!BX9," - ")</f>
        <v xml:space="preserve"> - </v>
      </c>
      <c r="AN9" s="243"/>
      <c r="AO9" s="260">
        <f>IF(ISNUMBER(((NºAsuntos!I9/NºAsuntos!G9)*11)/factor_trimestre),((NºAsuntos!I9/NºAsuntos!G9)*11)/factor_trimestre," - ")</f>
        <v>5.5715532286212914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4.3199315654405476E-2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2</v>
      </c>
      <c r="AA10" s="332">
        <f>IF(ISNUMBER(Datos!L10),Datos!L10,"-")</f>
        <v>15</v>
      </c>
      <c r="AB10" s="334"/>
      <c r="AC10" s="334"/>
      <c r="AD10" s="484"/>
      <c r="AE10" s="484">
        <f>IF(ISNUMBER(Datos!R10),Datos!R10," - ")</f>
        <v>32</v>
      </c>
      <c r="AF10" s="229" t="str">
        <f>IF(ISNUMBER(Datos!BV10),Datos!BV10," - ")</f>
        <v xml:space="preserve"> - </v>
      </c>
      <c r="AG10" s="225" t="str">
        <f>IF(ISNUMBER(Datos!DV10),Datos!DV10," - ")</f>
        <v xml:space="preserve"> - </v>
      </c>
      <c r="AH10" s="298"/>
      <c r="AI10" s="227"/>
      <c r="AJ10" s="225">
        <f>IF(ISNUMBER(Datos!M10),Datos!M10," - ")</f>
        <v>16</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1.4516129032258065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-5.8823529411764705E-2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79</v>
      </c>
      <c r="AA12" s="332" t="str">
        <f>IF(ISNUMBER(IF(J_V="SI",Datos!L12,Datos!L12+Datos!AB12)-IF(Monitorios="SI",Datos!CD12,0)),
                          IF(J_V="SI",Datos!L12,Datos!L12+Datos!AB12)-IF(Monitorios="SI",Datos!CD12,0),
                          " - ")</f>
        <v xml:space="preserve"> - </v>
      </c>
      <c r="AB12" s="334"/>
      <c r="AC12" s="334"/>
      <c r="AD12" s="484"/>
      <c r="AE12" s="484">
        <f>IF(ISNUMBER(Datos!R12),Datos!R12," - ")</f>
        <v>245</v>
      </c>
      <c r="AF12" s="229" t="str">
        <f>IF(ISNUMBER(Datos!BV12),Datos!BV12," - ")</f>
        <v xml:space="preserve"> - </v>
      </c>
      <c r="AG12" s="225" t="str">
        <f>IF(ISNUMBER(Datos!DV12),Datos!DV12," - ")</f>
        <v xml:space="preserve"> - </v>
      </c>
      <c r="AH12" s="298"/>
      <c r="AI12" s="227"/>
      <c r="AJ12" s="225">
        <f>IF(ISNUMBER(Datos!M12),Datos!M12," - ")</f>
        <v>0</v>
      </c>
      <c r="AK12" s="229">
        <f>IF(ISNUMBER(Datos!N12),Datos!N12," - ")</f>
        <v>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0</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-0.20454545454545456</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646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408</v>
      </c>
      <c r="AA13" s="900">
        <f t="shared" si="2"/>
        <v>15</v>
      </c>
      <c r="AB13" s="900">
        <f t="shared" si="2"/>
        <v>0</v>
      </c>
      <c r="AC13" s="900">
        <f t="shared" si="2"/>
        <v>0</v>
      </c>
      <c r="AD13" s="900">
        <f t="shared" si="2"/>
        <v>0</v>
      </c>
      <c r="AE13" s="900">
        <f t="shared" si="2"/>
        <v>7594</v>
      </c>
      <c r="AF13" s="908">
        <f t="shared" si="2"/>
        <v>0</v>
      </c>
      <c r="AG13" s="908">
        <f t="shared" si="2"/>
        <v>0</v>
      </c>
      <c r="AH13" s="908">
        <f t="shared" si="2"/>
        <v>0</v>
      </c>
      <c r="AI13" s="908">
        <f t="shared" si="2"/>
        <v>0</v>
      </c>
      <c r="AJ13" s="908">
        <f t="shared" si="2"/>
        <v>862</v>
      </c>
      <c r="AK13" s="908">
        <f t="shared" si="2"/>
        <v>2053</v>
      </c>
      <c r="AL13" s="908">
        <f t="shared" si="2"/>
        <v>0</v>
      </c>
      <c r="AM13" s="908">
        <f t="shared" si="2"/>
        <v>0</v>
      </c>
      <c r="AN13" s="908">
        <f t="shared" si="2"/>
        <v>0</v>
      </c>
      <c r="AO13" s="904">
        <f>IF(ISNUMBER(((NºAsuntos!I13/NºAsuntos!G13)*11)/factor_trimestre),((NºAsuntos!I13/NºAsuntos!G13)*11)/factor_trimestre," - ")</f>
        <v>5.53314121037464</v>
      </c>
      <c r="AP13" s="910" t="str">
        <f>IF(ISNUMBER(Datos!CI13/Datos!CJ13),Datos!CI13/Datos!CJ13," - ")</f>
        <v xml:space="preserve"> - </v>
      </c>
      <c r="AQ13" s="928">
        <f t="shared" ref="AQ13:AV13" si="3">SUBTOTAL(9,AQ9:AQ12)</f>
        <v>0</v>
      </c>
      <c r="AR13" s="928">
        <f t="shared" si="3"/>
        <v>-0.22016966830281379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1951</v>
      </c>
      <c r="G15" s="225">
        <f>IF(ISNUMBER(IF(D_I="SI",Datos!I15,Datos!I15+Datos!AC15)),IF(D_I="SI",Datos!I15,Datos!I15+Datos!AC15)," - ")</f>
        <v>1890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3941</v>
      </c>
      <c r="Z15" s="619">
        <f>IF(ISNUMBER(Datos!Q15),Datos!Q15," - ")</f>
        <v>119</v>
      </c>
      <c r="AA15" s="332">
        <f>IF(ISNUMBER(IF(D_I="SI",Datos!L15,Datos!L15+Datos!AF15)),IF(D_I="SI",Datos!L15,Datos!L15+Datos!AF15)," - ")</f>
        <v>2143</v>
      </c>
      <c r="AB15" s="334"/>
      <c r="AC15" s="334"/>
      <c r="AD15" s="484"/>
      <c r="AE15" s="484">
        <f>IF(ISNUMBER(Datos!R15),Datos!R15," - ")</f>
        <v>345</v>
      </c>
      <c r="AF15" s="229" t="str">
        <f>IF(ISNUMBER(Datos!BV15),Datos!BV15," - ")</f>
        <v xml:space="preserve"> - </v>
      </c>
      <c r="AG15" s="225"/>
      <c r="AH15" s="298"/>
      <c r="AI15" s="227"/>
      <c r="AJ15" s="225">
        <f>IF(ISNUMBER(Datos!M15),Datos!M15," - ")</f>
        <v>510</v>
      </c>
      <c r="AK15" s="229">
        <f>IF(ISNUMBER(Datos!N15),Datos!N15," - ")</f>
        <v>2725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1.6313118497843186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0</v>
      </c>
      <c r="G16" s="225">
        <f>IF(ISNUMBER(IF(D_I="SI",Datos!I16,Datos!I16+Datos!AC16)),IF(D_I="SI",Datos!I16,Datos!I16+Datos!AC16)," - ")</f>
        <v>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0</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212</v>
      </c>
      <c r="Z17" s="619">
        <f>IF(ISNUMBER(Datos!Q17),Datos!Q17," - ")</f>
        <v>19</v>
      </c>
      <c r="AA17" s="332">
        <f>IF(ISNUMBER(Datos!L17),Datos!L17,"-")</f>
        <v>91</v>
      </c>
      <c r="AB17" s="334"/>
      <c r="AC17" s="334"/>
      <c r="AD17" s="484"/>
      <c r="AE17" s="484">
        <f>IF(ISNUMBER(Datos!R17),Datos!R17," - ")</f>
        <v>31</v>
      </c>
      <c r="AF17" s="229" t="str">
        <f>IF(ISNUMBER(Datos!BV17),Datos!BV17," - ")</f>
        <v xml:space="preserve"> - </v>
      </c>
      <c r="AG17" s="225" t="str">
        <f>IF(ISNUMBER(Datos!DV17),Datos!DV17," - ")</f>
        <v xml:space="preserve"> - </v>
      </c>
      <c r="AH17" s="298"/>
      <c r="AI17" s="227"/>
      <c r="AJ17" s="225">
        <f>IF(ISNUMBER(Datos!M17),Datos!M17," - ")</f>
        <v>80</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1.2877358490566038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1951</v>
      </c>
      <c r="G18" s="898">
        <f>SUBTOTAL(9,G15:G17)</f>
        <v>1991</v>
      </c>
      <c r="H18" s="932">
        <f>SUBTOTAL(9,H15:H17)</f>
        <v>0</v>
      </c>
      <c r="I18" s="911">
        <f>SUBTOTAL(9,I15:I17)</f>
        <v>0</v>
      </c>
      <c r="J18" s="867">
        <f>SUBTOTAL(9,J14:J17)</f>
        <v>0</v>
      </c>
      <c r="K18" s="932">
        <f t="shared" ref="K18:S18" si="4">SUBTOTAL(9,K15:K17)</f>
        <v>0</v>
      </c>
      <c r="L18" s="932">
        <f t="shared" si="4"/>
        <v>0</v>
      </c>
      <c r="M18" s="932">
        <f t="shared" si="4"/>
        <v>0</v>
      </c>
      <c r="N18" s="932">
        <f t="shared" si="4"/>
        <v>131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4153</v>
      </c>
      <c r="Z18" s="932">
        <f t="shared" si="5"/>
        <v>138</v>
      </c>
      <c r="AA18" s="932">
        <f t="shared" si="5"/>
        <v>2234</v>
      </c>
      <c r="AB18" s="932">
        <f t="shared" si="5"/>
        <v>0</v>
      </c>
      <c r="AC18" s="932">
        <f t="shared" si="5"/>
        <v>0</v>
      </c>
      <c r="AD18" s="932">
        <f t="shared" si="5"/>
        <v>0</v>
      </c>
      <c r="AE18" s="932">
        <f t="shared" si="5"/>
        <v>377</v>
      </c>
      <c r="AF18" s="932">
        <f t="shared" si="5"/>
        <v>0</v>
      </c>
      <c r="AG18" s="932">
        <f t="shared" si="5"/>
        <v>0</v>
      </c>
      <c r="AH18" s="932">
        <f t="shared" si="5"/>
        <v>0</v>
      </c>
      <c r="AI18" s="932">
        <f t="shared" si="5"/>
        <v>0</v>
      </c>
      <c r="AJ18" s="932">
        <f t="shared" si="5"/>
        <v>590</v>
      </c>
      <c r="AK18" s="932">
        <f t="shared" si="5"/>
        <v>2790</v>
      </c>
      <c r="AL18" s="932">
        <f t="shared" si="5"/>
        <v>0</v>
      </c>
      <c r="AM18" s="932">
        <f t="shared" si="5"/>
        <v>0</v>
      </c>
      <c r="AN18" s="932">
        <f t="shared" si="5"/>
        <v>0</v>
      </c>
      <c r="AO18" s="934">
        <f>IF(ISNUMBER(((NºAsuntos!I18/NºAsuntos!G18)*11)/factor_trimestre),((NºAsuntos!I18/NºAsuntos!G18)*11)/factor_trimestre," - ")</f>
        <v>1.6137731760173368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1973</v>
      </c>
      <c r="G19" s="820">
        <f t="shared" si="7"/>
        <v>2013</v>
      </c>
      <c r="H19" s="821">
        <f t="shared" si="7"/>
        <v>0</v>
      </c>
      <c r="I19" s="820">
        <f t="shared" si="7"/>
        <v>0</v>
      </c>
      <c r="J19" s="822">
        <f t="shared" si="7"/>
        <v>0</v>
      </c>
      <c r="K19" s="820">
        <f t="shared" si="7"/>
        <v>0</v>
      </c>
      <c r="L19" s="823">
        <f t="shared" si="7"/>
        <v>0</v>
      </c>
      <c r="M19" s="820">
        <f t="shared" si="7"/>
        <v>0</v>
      </c>
      <c r="N19" s="821">
        <f t="shared" si="7"/>
        <v>777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4184</v>
      </c>
      <c r="Z19" s="827">
        <f t="shared" si="8"/>
        <v>546</v>
      </c>
      <c r="AA19" s="828">
        <f t="shared" si="8"/>
        <v>2249</v>
      </c>
      <c r="AB19" s="828">
        <f t="shared" si="8"/>
        <v>0</v>
      </c>
      <c r="AC19" s="828">
        <f t="shared" si="8"/>
        <v>0</v>
      </c>
      <c r="AD19" s="829">
        <f t="shared" si="8"/>
        <v>0</v>
      </c>
      <c r="AE19" s="829">
        <f t="shared" si="8"/>
        <v>7971</v>
      </c>
      <c r="AF19" s="830">
        <f t="shared" si="8"/>
        <v>0</v>
      </c>
      <c r="AG19" s="831">
        <f t="shared" si="8"/>
        <v>0</v>
      </c>
      <c r="AH19" s="832">
        <f t="shared" si="8"/>
        <v>0</v>
      </c>
      <c r="AI19" s="830">
        <f t="shared" si="8"/>
        <v>0</v>
      </c>
      <c r="AJ19" s="820">
        <f t="shared" si="8"/>
        <v>1452</v>
      </c>
      <c r="AK19" s="820">
        <f t="shared" si="8"/>
        <v>4843</v>
      </c>
      <c r="AL19" s="820">
        <f t="shared" si="8"/>
        <v>0</v>
      </c>
      <c r="AM19" s="833">
        <f t="shared" si="8"/>
        <v>0</v>
      </c>
      <c r="AN19" s="823">
        <f>IF(ISNUMBER(Datos!K19/Datos!J19),Datos!K19/Datos!J19," - ")</f>
        <v>0.94904137235116048</v>
      </c>
      <c r="AO19" s="823">
        <f>IF(ISNUMBER(FIND("06",Criterios!A8,1)),(IF(ISNUMBER(((Datos!R19/Datos!Q19)*11)/factor_trimestre),((Datos!R19/Datos!Q19)*11)/factor_trimestre," - ")),(IF(ISNUMBER(((Datos!L19/Datos!K19)*11)/factor_trimestre),((Datos!L19/Datos!K19)*11)/factor_trimestre," - ")))</f>
        <v>3.3608452950558214</v>
      </c>
      <c r="AP19" s="834" t="str">
        <f>IF(ISNUMBER(Datos!CI19/Datos!CJ19),Datos!CI19/Datos!CJ19," - ")</f>
        <v xml:space="preserve"> - </v>
      </c>
      <c r="AQ19" s="834">
        <f>IF(OR(ISNUMBER(FIND("01",Criterios!A8,1)),ISNUMBER(FIND("02",Criterios!A8,1)),ISNUMBER(FIND("03",Criterios!A8,1)),ISNUMBER(FIND("04",Criterios!A8,1))),(J19-Y19+K19)/(F19-K19),(I19-Y19+K19)/(F19-K19))</f>
        <v>-2.1206284845413075</v>
      </c>
      <c r="AR19" s="834">
        <f>IF(ISNUMBER((Datos!P19-Datos!Q19+O19)/(Datos!R19-Datos!P19+Datos!Q19-O19)),(Datos!P19-Datos!Q19+O19)/(Datos!R19-Datos!P19+Datos!Q19-O19)," - ")</f>
        <v>2.9844961240310077E-2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671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1060.6114745749264</v>
      </c>
      <c r="G21" s="552">
        <f>IF(ISNUMBER(STDEV(G8:G18)),STDEV(G8:G18),"-")</f>
        <v>984.46980654563504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381.62509650927609</v>
      </c>
      <c r="AK21" s="252"/>
      <c r="AL21" s="252">
        <f>IF(ISNUMBER(STDEV(AL8:AL18)),STDEV(AL8:AL18),"-")</f>
        <v>0</v>
      </c>
      <c r="AM21" s="254">
        <f>IF(ISNUMBER(STDEV(AM8:AM18)),STDEV(AM8:AM18),"-")</f>
        <v>0</v>
      </c>
      <c r="AN21" s="539">
        <f>IF(ISNUMBER(STDEV(AN8:AN18)),STDEV(AN8:AN18),"-")</f>
        <v>0</v>
      </c>
      <c r="AO21" s="540">
        <f>IF(ISNUMBER(STDEV(AO8:AO18)),STDEV(AO8:AO18),"-")</f>
        <v>2.1973084020802562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uMymR5zLMrJp7U2b0RaKPIskslfYmO17TN0fVzP4TtNLm6JSl5jw/6VEgNWpOLXz5wVEOH+Kj7GEEZAA92lTvA==" saltValue="mC/WgVuBYM7briYMBv7hg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Xc2qkwFGU88gJJU/LJbkvOHJeBols9riGPAjmesMyGj80l1bAhqtYQfinbgZR8EERXKudxB9OVoh+yHdLawXQ==" saltValue="hWMgx887eENoeF/b3SxI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ZcQdAfTD5XoH1kuzzRQr4DxAu4IlLnHFMoDb4poBM+LoqdPZFwj7C97fTePqkA7MRYyS2L9yJIZUgvcsCAoaQ==" saltValue="IexF7j5KPEooDJzNpxUK1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ARRECIFE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0.2484149855907781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0.17565592085959769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oer7V9d6dKVQEQL5OAIhADtCBA1ncNwoElBu9QLIf6M7pjnpRfQwmOkGKZwbKs5FfinGMi4vSr/VM4fZmkEerw==" saltValue="iBG3P0+PggQ0jjvYasVA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sGDnYmmluwJVhYgyZeaKSh1W3MZhLz8llK1q/MDG9GMPwZgz8Cf1oQX7h0XJIZ2SrEfULlrgnIb6eyK0qzcaGg==" saltValue="lnfIGS8tlpiitYebluqY4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ARRECIFE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1.4516129032258065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0</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-0.20454545454545456</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79</v>
      </c>
      <c r="AE13" s="939">
        <f t="shared" si="1"/>
        <v>0</v>
      </c>
      <c r="AF13" s="939">
        <f t="shared" si="1"/>
        <v>15</v>
      </c>
      <c r="AG13" s="939">
        <f t="shared" si="1"/>
        <v>0</v>
      </c>
      <c r="AH13" s="939">
        <f t="shared" si="1"/>
        <v>245</v>
      </c>
      <c r="AI13" s="939">
        <f t="shared" si="1"/>
        <v>0</v>
      </c>
      <c r="AJ13" s="939">
        <f t="shared" si="1"/>
        <v>0</v>
      </c>
      <c r="AK13" s="939">
        <f t="shared" si="1"/>
        <v>0</v>
      </c>
      <c r="AL13" s="939">
        <f t="shared" si="1"/>
        <v>16</v>
      </c>
      <c r="AM13" s="939">
        <f t="shared" si="1"/>
        <v>9</v>
      </c>
      <c r="AN13" s="939">
        <f t="shared" si="1"/>
        <v>0</v>
      </c>
      <c r="AO13" s="939">
        <f t="shared" si="1"/>
        <v>0</v>
      </c>
      <c r="AP13" s="944">
        <f>IF(ISNUMBER(((Datos!L13/Datos!K13)*11)/factor_trimestre),((Datos!L13/Datos!K13)*11)/factor_trimestre," - ")</f>
        <v>5.5132008306140614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-1.4090909090909092</v>
      </c>
      <c r="AU13" s="939" t="str">
        <f>IF(ISNUMBER((DatosP!#REF!-DatosP!#REF!+DatosP!#REF!)/(DatosP!#REF!+DatosP!#REF!-DatosP!#REF!-DatosP!#REF!)),(DatosP!#REF!-DatosP!#REF!+DatosP!#REF!)/(DatosP!#REF!+DatosP!#REF!-DatosP!#REF!-DatosP!#REF!)," - ")</f>
        <v xml:space="preserve"> - </v>
      </c>
      <c r="AV13" s="945">
        <f>SUBTOTAL(9,AV9:AV12)</f>
        <v>-0.20454545454545456</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1.6137731760173368</v>
      </c>
      <c r="AQ18" s="944">
        <f>IF(ISNUMBER(((Datos!M18/Datos!L18)*11)/factor_trimestre),((Datos!M18/Datos!L18)*11)/factor_trimestre," - ")</f>
        <v>0.79230080572963313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-1.8229166666666668E-2</v>
      </c>
      <c r="AW18" s="946">
        <f>IF(ISNUMBER((Datos!Q18-Datos!R18)/(Datos!S18-Datos!Q18+Datos!R18)),(Datos!Q18-Datos!R18)/(Datos!S18-Datos!Q18+Datos!R18)," - ")</f>
        <v>-0.11767602166420482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79</v>
      </c>
      <c r="AE19" s="957">
        <f t="shared" si="5"/>
        <v>0</v>
      </c>
      <c r="AF19" s="958">
        <f t="shared" si="5"/>
        <v>15</v>
      </c>
      <c r="AG19" s="958">
        <f t="shared" si="5"/>
        <v>0</v>
      </c>
      <c r="AH19" s="958">
        <f t="shared" si="5"/>
        <v>245</v>
      </c>
      <c r="AI19" s="958">
        <f t="shared" si="5"/>
        <v>0</v>
      </c>
      <c r="AJ19" s="959">
        <f t="shared" si="5"/>
        <v>0</v>
      </c>
      <c r="AK19" s="959">
        <f t="shared" si="5"/>
        <v>0</v>
      </c>
      <c r="AL19" s="951">
        <f t="shared" si="5"/>
        <v>16</v>
      </c>
      <c r="AM19" s="951">
        <f t="shared" si="5"/>
        <v>9</v>
      </c>
      <c r="AN19" s="951">
        <f t="shared" si="5"/>
        <v>0</v>
      </c>
      <c r="AO19" s="951">
        <f t="shared" si="5"/>
        <v>0</v>
      </c>
      <c r="AP19" s="951">
        <f>IF(ISNUMBER(((Datos!L19/Datos!K19)*11)/factor_trimestre),((Datos!L19/Datos!K19)*11)/factor_trimestre," - ")</f>
        <v>3.3608452950558214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-1.4090909090909092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2.9844961240310077E-2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9.2376043070340117</v>
      </c>
      <c r="AM21" s="736"/>
      <c r="AN21" s="736">
        <f>IF(ISNUMBER(STDEV(AN8:AN18)),STDEV(AN8:AN18),"-")</f>
        <v>0</v>
      </c>
      <c r="AO21" s="742">
        <f>IF(ISNUMBER(STDEV(AO8:AO18)),STDEV(AO8:AO18),"-")</f>
        <v>0</v>
      </c>
      <c r="AP21" s="779">
        <f>IF(ISNUMBER(STDEV(AP8:AP18)),STDEV(AP8:AP18),"-")</f>
        <v>2.3599992189712666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bicD3e+sHICOvi495J7uOdk8YkP/V2BcAenmLRMTXNu1kbFSmBHCuCqrp40ejCmfbs9zGSM+S3mFFjdwnpGROg==" saltValue="Z0KAFHuMX5A6X+1c3RsZ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